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rystal.starwich\Box Sync\Charter School Commission\Authorization\App Solitication 2019\Application\Required Application Templates and Forms\"/>
    </mc:Choice>
  </mc:AlternateContent>
  <bookViews>
    <workbookView xWindow="0" yWindow="0" windowWidth="16845" windowHeight="9180" tabRatio="917" activeTab="3"/>
  </bookViews>
  <sheets>
    <sheet name="Template Guidance -- " sheetId="241" r:id="rId1"/>
    <sheet name="General Template Instructions" sheetId="221" r:id="rId2"/>
    <sheet name="New Application Budget ---&gt;" sheetId="202" r:id="rId3"/>
    <sheet name="School Info" sheetId="240" r:id="rId4"/>
    <sheet name="Enrollment" sheetId="237" r:id="rId5"/>
    <sheet name="Personnel" sheetId="227" r:id="rId6"/>
    <sheet name="Assumptions" sheetId="69" r:id="rId7"/>
    <sheet name="5 YR Budget" sheetId="102" r:id="rId8"/>
    <sheet name="Start-Up Budget" sheetId="238" r:id="rId9"/>
    <sheet name="Cash Flow" sheetId="239" r:id="rId10"/>
  </sheets>
  <externalReferences>
    <externalReference r:id="rId11"/>
  </externalReferences>
  <definedNames>
    <definedName name="_Fill" localSheetId="9" hidden="1">#REF!</definedName>
    <definedName name="_Fill" localSheetId="4" hidden="1">#REF!</definedName>
    <definedName name="_Fill" localSheetId="3" hidden="1">#REF!</definedName>
    <definedName name="_Fill" localSheetId="8" hidden="1">#REF!</definedName>
    <definedName name="_Fill" localSheetId="0" hidden="1">#REF!</definedName>
    <definedName name="_Fill" hidden="1">#REF!</definedName>
    <definedName name="_Key1" localSheetId="9" hidden="1">#REF!</definedName>
    <definedName name="_Key1" localSheetId="4" hidden="1">#REF!</definedName>
    <definedName name="_Key1" localSheetId="3" hidden="1">#REF!</definedName>
    <definedName name="_Key1" localSheetId="8" hidden="1">#REF!</definedName>
    <definedName name="_Key1" localSheetId="0" hidden="1">#REF!</definedName>
    <definedName name="_Key1" hidden="1">#REF!</definedName>
    <definedName name="_Order1" hidden="1">0</definedName>
    <definedName name="_Sort" localSheetId="9" hidden="1">#REF!</definedName>
    <definedName name="_Sort" localSheetId="4" hidden="1">#REF!</definedName>
    <definedName name="_Sort" localSheetId="5" hidden="1">#REF!</definedName>
    <definedName name="_Sort" localSheetId="3" hidden="1">#REF!</definedName>
    <definedName name="_Sort" localSheetId="8" hidden="1">#REF!</definedName>
    <definedName name="_Sort" localSheetId="0" hidden="1">#REF!</definedName>
    <definedName name="_Sort" hidden="1">#REF!</definedName>
    <definedName name="_Table1_In1" localSheetId="9" hidden="1">#REF!</definedName>
    <definedName name="_Table1_In1" localSheetId="4" hidden="1">#REF!</definedName>
    <definedName name="_Table1_In1" localSheetId="5" hidden="1">#REF!</definedName>
    <definedName name="_Table1_In1" localSheetId="3" hidden="1">#REF!</definedName>
    <definedName name="_Table1_In1" localSheetId="8" hidden="1">#REF!</definedName>
    <definedName name="_Table1_In1" localSheetId="0" hidden="1">#REF!</definedName>
    <definedName name="_Table1_In1" hidden="1">#REF!</definedName>
    <definedName name="_Table1_Out" localSheetId="9" hidden="1">#REF!</definedName>
    <definedName name="_Table1_Out" localSheetId="4" hidden="1">#REF!</definedName>
    <definedName name="_Table1_Out" localSheetId="5" hidden="1">#REF!</definedName>
    <definedName name="_Table1_Out" localSheetId="3" hidden="1">#REF!</definedName>
    <definedName name="_Table1_Out" localSheetId="8" hidden="1">#REF!</definedName>
    <definedName name="_Table1_Out" localSheetId="0" hidden="1">#REF!</definedName>
    <definedName name="_Table1_Out" hidden="1">#REF!</definedName>
    <definedName name="_Table2_In1" localSheetId="9" hidden="1">#REF!</definedName>
    <definedName name="_Table2_In1" localSheetId="4" hidden="1">#REF!</definedName>
    <definedName name="_Table2_In1" localSheetId="3" hidden="1">#REF!</definedName>
    <definedName name="_Table2_In1" localSheetId="8" hidden="1">#REF!</definedName>
    <definedName name="_Table2_In1" localSheetId="0" hidden="1">#REF!</definedName>
    <definedName name="_Table2_In1" hidden="1">#REF!</definedName>
    <definedName name="_Table2_Out" localSheetId="9" hidden="1">#REF!</definedName>
    <definedName name="_Table2_Out" localSheetId="4" hidden="1">#REF!</definedName>
    <definedName name="_Table2_Out" localSheetId="3" hidden="1">#REF!</definedName>
    <definedName name="_Table2_Out" localSheetId="8" hidden="1">#REF!</definedName>
    <definedName name="_Table2_Out" localSheetId="0" hidden="1">#REF!</definedName>
    <definedName name="_Table2_Out" hidden="1">#REF!</definedName>
    <definedName name="DATA_01" localSheetId="9" hidden="1">'[1]Bond Amortization1'!#REF!</definedName>
    <definedName name="DATA_01" localSheetId="4" hidden="1">'[1]Bond Amortization1'!#REF!</definedName>
    <definedName name="DATA_01" localSheetId="3" hidden="1">'[1]Bond Amortization1'!#REF!</definedName>
    <definedName name="DATA_01" localSheetId="8" hidden="1">'[1]Bond Amortization1'!#REF!</definedName>
    <definedName name="DATA_01" localSheetId="0" hidden="1">'[1]Bond Amortization1'!#REF!</definedName>
    <definedName name="DATA_01" hidden="1">'[1]Bond Amortization1'!#REF!</definedName>
    <definedName name="DATA_08" localSheetId="9" hidden="1">'[1]Bond Amortization1'!#REF!</definedName>
    <definedName name="DATA_08" localSheetId="4" hidden="1">'[1]Bond Amortization1'!#REF!</definedName>
    <definedName name="DATA_08" localSheetId="3" hidden="1">'[1]Bond Amortization1'!#REF!</definedName>
    <definedName name="DATA_08" localSheetId="8" hidden="1">'[1]Bond Amortization1'!#REF!</definedName>
    <definedName name="DATA_08" localSheetId="0" hidden="1">'[1]Bond Amortization1'!#REF!</definedName>
    <definedName name="DATA_08" hidden="1">'[1]Bond Amortization1'!#REF!</definedName>
    <definedName name="IntroPrintArea" localSheetId="9" hidden="1">#REF!</definedName>
    <definedName name="IntroPrintArea" localSheetId="4" hidden="1">#REF!</definedName>
    <definedName name="IntroPrintArea" localSheetId="3" hidden="1">#REF!</definedName>
    <definedName name="IntroPrintArea" localSheetId="8" hidden="1">#REF!</definedName>
    <definedName name="IntroPrintArea" localSheetId="0" hidden="1">#REF!</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7">'5 YR Budget'!$B$4:$J$203</definedName>
    <definedName name="_xlnm.Print_Area" localSheetId="6">Assumptions!$B$6:$O$203</definedName>
    <definedName name="_xlnm.Print_Area" localSheetId="9">'Cash Flow'!$B$4:$AD$203</definedName>
    <definedName name="_xlnm.Print_Area" localSheetId="4">Enrollment!$B$2:$N$61</definedName>
    <definedName name="_xlnm.Print_Area" localSheetId="1">'General Template Instructions'!$B$2:$D$42</definedName>
    <definedName name="_xlnm.Print_Area" localSheetId="5">Personnel!$B$2:$R$69</definedName>
    <definedName name="_xlnm.Print_Area" localSheetId="3">'School Info'!$B$2:$E$12</definedName>
    <definedName name="_xlnm.Print_Area" localSheetId="8">'Start-Up Budget'!$B$4:$F$203</definedName>
    <definedName name="_xlnm.Print_Titles" localSheetId="7">'5 YR Budget'!$4:$17</definedName>
    <definedName name="_xlnm.Print_Titles" localSheetId="6">Assumptions!$6:$17</definedName>
    <definedName name="_xlnm.Print_Titles" localSheetId="9">'Cash Flow'!$B:$B,'Cash Flow'!$4:$17</definedName>
    <definedName name="_xlnm.Print_Titles" localSheetId="4">Enrollment!$2:$4</definedName>
    <definedName name="_xlnm.Print_Titles" localSheetId="1">'General Template Instructions'!$3:$4</definedName>
    <definedName name="_xlnm.Print_Titles" localSheetId="5">Personnel!$B:$D,Personnel!$2:$9</definedName>
    <definedName name="_xlnm.Print_Titles" localSheetId="8">'Start-Up Budget'!$4:$17</definedName>
    <definedName name="X_Assumptions">Assumptions!$C$10:$M$204</definedName>
    <definedName name="X_AssumptionsInc">Assumptions!$Z$10:$AK$204</definedName>
    <definedName name="X_Enrollment">Enrollment!$C$7:$M$60</definedName>
    <definedName name="X_PositionsCategories">OFFSET(Assumptions!$AN$95,0,0,COUNTA(Assumptions!$AN:$AN)-1,1)</definedName>
    <definedName name="X_SchoolDays">'School Info'!$D$11</definedName>
    <definedName name="X_SchoolName">'School Info'!$C$3</definedName>
    <definedName name="X_Staffing_YR1_FTE">Personnel!$F$68</definedName>
    <definedName name="X_Staffing_YR2_FTE">Personnel!$G$68</definedName>
    <definedName name="X_Staffing_YR3_FTE">Personnel!$H$68</definedName>
    <definedName name="X_Staffing_YR4_FTE">Personnel!$I$68</definedName>
    <definedName name="X_Staffing_YR5_FTE">Personnel!$J$68</definedName>
    <definedName name="X_StaffingCategories">Personnel!$D:$J</definedName>
    <definedName name="X_StaffingRaises">Personnel!$N:$R</definedName>
    <definedName name="X_YearOne">'School Info'!$D$10</definedName>
    <definedName name="X_Years">Enrollment!$AC$10:$AO$12</definedName>
  </definedNames>
  <calcPr calcId="162913"/>
</workbook>
</file>

<file path=xl/calcChain.xml><?xml version="1.0" encoding="utf-8"?>
<calcChain xmlns="http://schemas.openxmlformats.org/spreadsheetml/2006/main">
  <c r="B41" i="238" l="1"/>
  <c r="B40" i="238"/>
  <c r="B39" i="238"/>
  <c r="B41" i="102"/>
  <c r="AB142" i="69"/>
  <c r="AC142" i="69" s="1"/>
  <c r="AD142" i="69" s="1"/>
  <c r="AE142" i="69" s="1"/>
  <c r="AF142" i="69" s="1"/>
  <c r="AG142" i="69" s="1"/>
  <c r="AH142" i="69" s="1"/>
  <c r="AI142" i="69" s="1"/>
  <c r="AJ142" i="69" s="1"/>
  <c r="AK142" i="69" s="1"/>
  <c r="AB143" i="69"/>
  <c r="AC143" i="69"/>
  <c r="AD143" i="69" s="1"/>
  <c r="AE143" i="69" s="1"/>
  <c r="AF143" i="69" s="1"/>
  <c r="AG143" i="69" s="1"/>
  <c r="AH143" i="69" s="1"/>
  <c r="AI143" i="69" s="1"/>
  <c r="AJ143" i="69" s="1"/>
  <c r="AK143" i="69" s="1"/>
  <c r="AB123" i="69"/>
  <c r="AC123" i="69" s="1"/>
  <c r="AD123" i="69" s="1"/>
  <c r="AE123" i="69" s="1"/>
  <c r="AF123" i="69" s="1"/>
  <c r="AG123" i="69" s="1"/>
  <c r="AH123" i="69" s="1"/>
  <c r="AI123" i="69" s="1"/>
  <c r="AJ123" i="69" s="1"/>
  <c r="AK123" i="69" s="1"/>
  <c r="AB38" i="69"/>
  <c r="B145" i="102" l="1"/>
  <c r="B145" i="238"/>
  <c r="B144" i="238"/>
  <c r="H42" i="102"/>
  <c r="G42" i="102"/>
  <c r="F42" i="102"/>
  <c r="E42" i="102"/>
  <c r="D42" i="102"/>
  <c r="Z146" i="69"/>
  <c r="AB146" i="69"/>
  <c r="AC146" i="69" s="1"/>
  <c r="AD146" i="69" s="1"/>
  <c r="AE146" i="69" s="1"/>
  <c r="AF146" i="69" s="1"/>
  <c r="AG146" i="69" s="1"/>
  <c r="AH146" i="69" s="1"/>
  <c r="AI146" i="69" s="1"/>
  <c r="AJ146" i="69" s="1"/>
  <c r="AK146" i="69" s="1"/>
  <c r="B145" i="239"/>
  <c r="J145" i="239"/>
  <c r="K145" i="239"/>
  <c r="AA145" i="239"/>
  <c r="Z43" i="69"/>
  <c r="AB43" i="69"/>
  <c r="AC43" i="69"/>
  <c r="AD43" i="69"/>
  <c r="AE43" i="69" s="1"/>
  <c r="B42" i="102"/>
  <c r="B42" i="238"/>
  <c r="B42" i="239"/>
  <c r="J42" i="239"/>
  <c r="K42" i="239" s="1"/>
  <c r="AA42" i="239"/>
  <c r="AF43" i="69" l="1"/>
  <c r="D35" i="239"/>
  <c r="AG43" i="69" l="1"/>
  <c r="AH43" i="69" s="1"/>
  <c r="AI43" i="69" s="1"/>
  <c r="AJ43" i="69" s="1"/>
  <c r="AK43" i="69" s="1"/>
  <c r="Z35" i="239"/>
  <c r="Y35" i="239"/>
  <c r="X35" i="239"/>
  <c r="W35" i="239"/>
  <c r="V35" i="239"/>
  <c r="U35" i="239"/>
  <c r="T35" i="239"/>
  <c r="S35" i="239"/>
  <c r="R35" i="239"/>
  <c r="Q35" i="239"/>
  <c r="P35" i="239"/>
  <c r="O35" i="239"/>
  <c r="N35" i="239"/>
  <c r="I35" i="239"/>
  <c r="H35" i="239"/>
  <c r="G35" i="239"/>
  <c r="F35" i="239"/>
  <c r="E35" i="239"/>
  <c r="D45" i="238"/>
  <c r="D23" i="238"/>
  <c r="D29" i="238"/>
  <c r="D35" i="238"/>
  <c r="Z112" i="239" l="1"/>
  <c r="Z120" i="239"/>
  <c r="Z138" i="239"/>
  <c r="Z155" i="239"/>
  <c r="Z180" i="239"/>
  <c r="Z193" i="239"/>
  <c r="Z101" i="239"/>
  <c r="Z122" i="239" s="1"/>
  <c r="Z140" i="239" l="1"/>
  <c r="Z197" i="239" s="1"/>
  <c r="B202" i="239"/>
  <c r="AA200" i="239"/>
  <c r="J200" i="239"/>
  <c r="K200" i="239" s="1"/>
  <c r="B200" i="239"/>
  <c r="B198" i="239"/>
  <c r="B197" i="239"/>
  <c r="AA195" i="239"/>
  <c r="J195" i="239"/>
  <c r="K195" i="239" s="1"/>
  <c r="B195" i="239"/>
  <c r="Y193" i="239"/>
  <c r="X193" i="239"/>
  <c r="W193" i="239"/>
  <c r="V193" i="239"/>
  <c r="U193" i="239"/>
  <c r="T193" i="239"/>
  <c r="S193" i="239"/>
  <c r="R193" i="239"/>
  <c r="Q193" i="239"/>
  <c r="P193" i="239"/>
  <c r="O193" i="239"/>
  <c r="N193" i="239"/>
  <c r="J193" i="239"/>
  <c r="I193" i="239"/>
  <c r="H193" i="239"/>
  <c r="G193" i="239"/>
  <c r="F193" i="239"/>
  <c r="E193" i="239"/>
  <c r="D193" i="239"/>
  <c r="AA192" i="239"/>
  <c r="K192" i="239"/>
  <c r="J192" i="239"/>
  <c r="B192" i="239"/>
  <c r="AA191" i="239"/>
  <c r="K191" i="239"/>
  <c r="J191" i="239"/>
  <c r="B191" i="239"/>
  <c r="AA190" i="239"/>
  <c r="K190" i="239"/>
  <c r="J190" i="239"/>
  <c r="B190" i="239"/>
  <c r="AA189" i="239"/>
  <c r="K189" i="239"/>
  <c r="J189" i="239"/>
  <c r="B189" i="239"/>
  <c r="AA188" i="239"/>
  <c r="K188" i="239"/>
  <c r="J188" i="239"/>
  <c r="B188" i="239"/>
  <c r="AA187" i="239"/>
  <c r="K187" i="239"/>
  <c r="J187" i="239"/>
  <c r="B187" i="239"/>
  <c r="AA186" i="239"/>
  <c r="K186" i="239"/>
  <c r="J186" i="239"/>
  <c r="B186" i="239"/>
  <c r="AA185" i="239"/>
  <c r="K185" i="239"/>
  <c r="J185" i="239"/>
  <c r="B185" i="239"/>
  <c r="AA184" i="239"/>
  <c r="K184" i="239"/>
  <c r="J184" i="239"/>
  <c r="B184" i="239"/>
  <c r="AA183" i="239"/>
  <c r="AA193" i="239" s="1"/>
  <c r="K183" i="239"/>
  <c r="J183" i="239"/>
  <c r="B183" i="239"/>
  <c r="B182" i="239"/>
  <c r="Y180" i="239"/>
  <c r="X180" i="239"/>
  <c r="W180" i="239"/>
  <c r="V180" i="239"/>
  <c r="U180" i="239"/>
  <c r="T180" i="239"/>
  <c r="S180" i="239"/>
  <c r="R180" i="239"/>
  <c r="Q180" i="239"/>
  <c r="P180" i="239"/>
  <c r="O180" i="239"/>
  <c r="N180" i="239"/>
  <c r="I180" i="239"/>
  <c r="H180" i="239"/>
  <c r="G180" i="239"/>
  <c r="F180" i="239"/>
  <c r="E180" i="239"/>
  <c r="D180" i="239"/>
  <c r="AA179" i="239"/>
  <c r="J179" i="239"/>
  <c r="K179" i="239" s="1"/>
  <c r="B179" i="239"/>
  <c r="AA178" i="239"/>
  <c r="J178" i="239"/>
  <c r="K178" i="239" s="1"/>
  <c r="B178" i="239"/>
  <c r="AA177" i="239"/>
  <c r="J177" i="239"/>
  <c r="K177" i="239" s="1"/>
  <c r="B177" i="239"/>
  <c r="AA176" i="239"/>
  <c r="J176" i="239"/>
  <c r="K176" i="239" s="1"/>
  <c r="B176" i="239"/>
  <c r="AA175" i="239"/>
  <c r="J175" i="239"/>
  <c r="K175" i="239" s="1"/>
  <c r="B175" i="239"/>
  <c r="AA174" i="239"/>
  <c r="J174" i="239"/>
  <c r="K174" i="239" s="1"/>
  <c r="B174" i="239"/>
  <c r="AA173" i="239"/>
  <c r="J173" i="239"/>
  <c r="K173" i="239" s="1"/>
  <c r="B173" i="239"/>
  <c r="AA172" i="239"/>
  <c r="J172" i="239"/>
  <c r="K172" i="239" s="1"/>
  <c r="B172" i="239"/>
  <c r="AA171" i="239"/>
  <c r="J171" i="239"/>
  <c r="K171" i="239" s="1"/>
  <c r="B171" i="239"/>
  <c r="AA170" i="239"/>
  <c r="J170" i="239"/>
  <c r="K170" i="239" s="1"/>
  <c r="B170" i="239"/>
  <c r="AA169" i="239"/>
  <c r="J169" i="239"/>
  <c r="K169" i="239" s="1"/>
  <c r="B169" i="239"/>
  <c r="AA168" i="239"/>
  <c r="J168" i="239"/>
  <c r="K168" i="239" s="1"/>
  <c r="B168" i="239"/>
  <c r="AA167" i="239"/>
  <c r="J167" i="239"/>
  <c r="K167" i="239" s="1"/>
  <c r="B167" i="239"/>
  <c r="AA166" i="239"/>
  <c r="J166" i="239"/>
  <c r="K166" i="239" s="1"/>
  <c r="B166" i="239"/>
  <c r="AA165" i="239"/>
  <c r="J165" i="239"/>
  <c r="K165" i="239" s="1"/>
  <c r="B165" i="239"/>
  <c r="AA164" i="239"/>
  <c r="J164" i="239"/>
  <c r="K164" i="239" s="1"/>
  <c r="B164" i="239"/>
  <c r="AA163" i="239"/>
  <c r="J163" i="239"/>
  <c r="K163" i="239" s="1"/>
  <c r="B163" i="239"/>
  <c r="AA162" i="239"/>
  <c r="J162" i="239"/>
  <c r="K162" i="239" s="1"/>
  <c r="B162" i="239"/>
  <c r="AA161" i="239"/>
  <c r="J161" i="239"/>
  <c r="K161" i="239" s="1"/>
  <c r="B161" i="239"/>
  <c r="AA160" i="239"/>
  <c r="J160" i="239"/>
  <c r="K160" i="239" s="1"/>
  <c r="B160" i="239"/>
  <c r="AA159" i="239"/>
  <c r="J159" i="239"/>
  <c r="K159" i="239" s="1"/>
  <c r="B159" i="239"/>
  <c r="AA158" i="239"/>
  <c r="J158" i="239"/>
  <c r="B158" i="239"/>
  <c r="B157" i="239"/>
  <c r="Y155" i="239"/>
  <c r="X155" i="239"/>
  <c r="W155" i="239"/>
  <c r="V155" i="239"/>
  <c r="U155" i="239"/>
  <c r="T155" i="239"/>
  <c r="S155" i="239"/>
  <c r="R155" i="239"/>
  <c r="Q155" i="239"/>
  <c r="P155" i="239"/>
  <c r="O155" i="239"/>
  <c r="N155" i="239"/>
  <c r="I155" i="239"/>
  <c r="H155" i="239"/>
  <c r="G155" i="239"/>
  <c r="F155" i="239"/>
  <c r="E155" i="239"/>
  <c r="D155" i="239"/>
  <c r="AA154" i="239"/>
  <c r="J154" i="239"/>
  <c r="K154" i="239" s="1"/>
  <c r="B154" i="239"/>
  <c r="AA153" i="239"/>
  <c r="J153" i="239"/>
  <c r="K153" i="239" s="1"/>
  <c r="B153" i="239"/>
  <c r="AA152" i="239"/>
  <c r="J152" i="239"/>
  <c r="K152" i="239" s="1"/>
  <c r="B152" i="239"/>
  <c r="AA151" i="239"/>
  <c r="J151" i="239"/>
  <c r="K151" i="239" s="1"/>
  <c r="B151" i="239"/>
  <c r="AA150" i="239"/>
  <c r="J150" i="239"/>
  <c r="K150" i="239" s="1"/>
  <c r="B150" i="239"/>
  <c r="AA149" i="239"/>
  <c r="J149" i="239"/>
  <c r="K149" i="239" s="1"/>
  <c r="B149" i="239"/>
  <c r="AA148" i="239"/>
  <c r="J148" i="239"/>
  <c r="K148" i="239" s="1"/>
  <c r="B148" i="239"/>
  <c r="AA147" i="239"/>
  <c r="J147" i="239"/>
  <c r="K147" i="239" s="1"/>
  <c r="B147" i="239"/>
  <c r="AA146" i="239"/>
  <c r="J146" i="239"/>
  <c r="K146" i="239" s="1"/>
  <c r="B146" i="239"/>
  <c r="AA144" i="239"/>
  <c r="J144" i="239"/>
  <c r="K144" i="239" s="1"/>
  <c r="B144" i="239"/>
  <c r="AA143" i="239"/>
  <c r="AA155" i="239" s="1"/>
  <c r="J143" i="239"/>
  <c r="B143" i="239"/>
  <c r="B142" i="239"/>
  <c r="B140" i="239"/>
  <c r="Y138" i="239"/>
  <c r="X138" i="239"/>
  <c r="W138" i="239"/>
  <c r="V138" i="239"/>
  <c r="U138" i="239"/>
  <c r="T138" i="239"/>
  <c r="S138" i="239"/>
  <c r="R138" i="239"/>
  <c r="Q138" i="239"/>
  <c r="P138" i="239"/>
  <c r="O138" i="239"/>
  <c r="N138" i="239"/>
  <c r="I138" i="239"/>
  <c r="H138" i="239"/>
  <c r="G138" i="239"/>
  <c r="F138" i="239"/>
  <c r="E138" i="239"/>
  <c r="D138" i="239"/>
  <c r="AA137" i="239"/>
  <c r="J137" i="239"/>
  <c r="K137" i="239" s="1"/>
  <c r="B137" i="239"/>
  <c r="AA136" i="239"/>
  <c r="J136" i="239"/>
  <c r="K136" i="239" s="1"/>
  <c r="B136" i="239"/>
  <c r="AA135" i="239"/>
  <c r="J135" i="239"/>
  <c r="K135" i="239" s="1"/>
  <c r="B135" i="239"/>
  <c r="AA134" i="239"/>
  <c r="J134" i="239"/>
  <c r="K134" i="239" s="1"/>
  <c r="B134" i="239"/>
  <c r="AA133" i="239"/>
  <c r="J133" i="239"/>
  <c r="K133" i="239" s="1"/>
  <c r="B133" i="239"/>
  <c r="AA132" i="239"/>
  <c r="J132" i="239"/>
  <c r="K132" i="239" s="1"/>
  <c r="B132" i="239"/>
  <c r="AA131" i="239"/>
  <c r="J131" i="239"/>
  <c r="K131" i="239" s="1"/>
  <c r="B131" i="239"/>
  <c r="AA130" i="239"/>
  <c r="J130" i="239"/>
  <c r="K130" i="239" s="1"/>
  <c r="B130" i="239"/>
  <c r="AA129" i="239"/>
  <c r="J129" i="239"/>
  <c r="K129" i="239" s="1"/>
  <c r="B129" i="239"/>
  <c r="AA128" i="239"/>
  <c r="J128" i="239"/>
  <c r="K128" i="239" s="1"/>
  <c r="B128" i="239"/>
  <c r="AA127" i="239"/>
  <c r="J127" i="239"/>
  <c r="K127" i="239" s="1"/>
  <c r="B127" i="239"/>
  <c r="AA126" i="239"/>
  <c r="J126" i="239"/>
  <c r="K126" i="239" s="1"/>
  <c r="B126" i="239"/>
  <c r="AA125" i="239"/>
  <c r="J125" i="239"/>
  <c r="J138" i="239" s="1"/>
  <c r="B125" i="239"/>
  <c r="B124" i="239"/>
  <c r="Q122" i="239"/>
  <c r="Q140" i="239" s="1"/>
  <c r="Q197" i="239" s="1"/>
  <c r="Q10" i="239" s="1"/>
  <c r="B122" i="239"/>
  <c r="Y120" i="239"/>
  <c r="X120" i="239"/>
  <c r="W120" i="239"/>
  <c r="V120" i="239"/>
  <c r="U120" i="239"/>
  <c r="T120" i="239"/>
  <c r="S120" i="239"/>
  <c r="R120" i="239"/>
  <c r="Q120" i="239"/>
  <c r="P120" i="239"/>
  <c r="O120" i="239"/>
  <c r="N120" i="239"/>
  <c r="I120" i="239"/>
  <c r="H120" i="239"/>
  <c r="G120" i="239"/>
  <c r="F120" i="239"/>
  <c r="E120" i="239"/>
  <c r="D120" i="239"/>
  <c r="AA119" i="239"/>
  <c r="J119" i="239"/>
  <c r="K119" i="239" s="1"/>
  <c r="B119" i="239"/>
  <c r="AA118" i="239"/>
  <c r="J118" i="239"/>
  <c r="K118" i="239" s="1"/>
  <c r="B118" i="239"/>
  <c r="AA117" i="239"/>
  <c r="J117" i="239"/>
  <c r="K117" i="239" s="1"/>
  <c r="B117" i="239"/>
  <c r="AA116" i="239"/>
  <c r="J116" i="239"/>
  <c r="K116" i="239" s="1"/>
  <c r="B116" i="239"/>
  <c r="AA115" i="239"/>
  <c r="J115" i="239"/>
  <c r="B115" i="239"/>
  <c r="B114" i="239"/>
  <c r="Y112" i="239"/>
  <c r="Y122" i="239" s="1"/>
  <c r="Y140" i="239" s="1"/>
  <c r="Y197" i="239" s="1"/>
  <c r="Y10" i="239" s="1"/>
  <c r="X112" i="239"/>
  <c r="X122" i="239" s="1"/>
  <c r="X140" i="239" s="1"/>
  <c r="W112" i="239"/>
  <c r="V112" i="239"/>
  <c r="U112" i="239"/>
  <c r="T112" i="239"/>
  <c r="T122" i="239" s="1"/>
  <c r="T140" i="239" s="1"/>
  <c r="S112" i="239"/>
  <c r="R112" i="239"/>
  <c r="Q112" i="239"/>
  <c r="P112" i="239"/>
  <c r="O112" i="239"/>
  <c r="N112" i="239"/>
  <c r="I112" i="239"/>
  <c r="H112" i="239"/>
  <c r="G112" i="239"/>
  <c r="F112" i="239"/>
  <c r="E112" i="239"/>
  <c r="D112" i="239"/>
  <c r="AA111" i="239"/>
  <c r="J111" i="239"/>
  <c r="K111" i="239" s="1"/>
  <c r="B111" i="239"/>
  <c r="AA110" i="239"/>
  <c r="J110" i="239"/>
  <c r="K110" i="239" s="1"/>
  <c r="B110" i="239"/>
  <c r="AA109" i="239"/>
  <c r="J109" i="239"/>
  <c r="K109" i="239" s="1"/>
  <c r="B109" i="239"/>
  <c r="AA108" i="239"/>
  <c r="J108" i="239"/>
  <c r="K108" i="239" s="1"/>
  <c r="B108" i="239"/>
  <c r="AA107" i="239"/>
  <c r="J107" i="239"/>
  <c r="K107" i="239" s="1"/>
  <c r="B107" i="239"/>
  <c r="AA106" i="239"/>
  <c r="J106" i="239"/>
  <c r="K106" i="239" s="1"/>
  <c r="B106" i="239"/>
  <c r="AA105" i="239"/>
  <c r="J105" i="239"/>
  <c r="B105" i="239"/>
  <c r="AA104" i="239"/>
  <c r="J104" i="239"/>
  <c r="K104" i="239" s="1"/>
  <c r="B104" i="239"/>
  <c r="B103" i="239"/>
  <c r="Y101" i="239"/>
  <c r="X101" i="239"/>
  <c r="W101" i="239"/>
  <c r="W122" i="239" s="1"/>
  <c r="V101" i="239"/>
  <c r="V122" i="239" s="1"/>
  <c r="V140" i="239" s="1"/>
  <c r="U101" i="239"/>
  <c r="T101" i="239"/>
  <c r="S101" i="239"/>
  <c r="S122" i="239" s="1"/>
  <c r="R101" i="239"/>
  <c r="R122" i="239" s="1"/>
  <c r="R140" i="239" s="1"/>
  <c r="Q101" i="239"/>
  <c r="P101" i="239"/>
  <c r="P122" i="239" s="1"/>
  <c r="P140" i="239" s="1"/>
  <c r="P197" i="239" s="1"/>
  <c r="P10" i="239" s="1"/>
  <c r="O101" i="239"/>
  <c r="O122" i="239" s="1"/>
  <c r="N101" i="239"/>
  <c r="N122" i="239" s="1"/>
  <c r="I101" i="239"/>
  <c r="H101" i="239"/>
  <c r="G101" i="239"/>
  <c r="G122" i="239" s="1"/>
  <c r="G140" i="239" s="1"/>
  <c r="F101" i="239"/>
  <c r="F122" i="239" s="1"/>
  <c r="F140" i="239" s="1"/>
  <c r="E101" i="239"/>
  <c r="D101" i="239"/>
  <c r="AA100" i="239"/>
  <c r="J100" i="239"/>
  <c r="K100" i="239" s="1"/>
  <c r="B100" i="239"/>
  <c r="AA99" i="239"/>
  <c r="J99" i="239"/>
  <c r="K99" i="239" s="1"/>
  <c r="B99" i="239"/>
  <c r="AA98" i="239"/>
  <c r="J98" i="239"/>
  <c r="K98" i="239" s="1"/>
  <c r="B98" i="239"/>
  <c r="AA97" i="239"/>
  <c r="J97" i="239"/>
  <c r="K97" i="239" s="1"/>
  <c r="B97" i="239"/>
  <c r="AA96" i="239"/>
  <c r="J96" i="239"/>
  <c r="K96" i="239" s="1"/>
  <c r="B96" i="239"/>
  <c r="AA95" i="239"/>
  <c r="J95" i="239"/>
  <c r="K95" i="239" s="1"/>
  <c r="B95" i="239"/>
  <c r="AA94" i="239"/>
  <c r="J94" i="239"/>
  <c r="B94" i="239"/>
  <c r="B93" i="239"/>
  <c r="B92" i="239"/>
  <c r="K89" i="239"/>
  <c r="Z88" i="239"/>
  <c r="Y88" i="239"/>
  <c r="X88" i="239"/>
  <c r="W88" i="239"/>
  <c r="V88" i="239"/>
  <c r="U88" i="239"/>
  <c r="T88" i="239"/>
  <c r="S88" i="239"/>
  <c r="R88" i="239"/>
  <c r="Q88" i="239"/>
  <c r="P88" i="239"/>
  <c r="O88" i="239"/>
  <c r="N88" i="239"/>
  <c r="I88" i="239"/>
  <c r="H88" i="239"/>
  <c r="G88" i="239"/>
  <c r="F88" i="239"/>
  <c r="E88" i="239"/>
  <c r="D88" i="239"/>
  <c r="AA87" i="239"/>
  <c r="J87" i="239"/>
  <c r="K87" i="239" s="1"/>
  <c r="AA86" i="239"/>
  <c r="J86" i="239"/>
  <c r="K86" i="239" s="1"/>
  <c r="B86" i="239"/>
  <c r="AA85" i="239"/>
  <c r="J85" i="239"/>
  <c r="B85" i="239"/>
  <c r="K84" i="239"/>
  <c r="B84" i="239"/>
  <c r="Z82" i="239"/>
  <c r="Y82" i="239"/>
  <c r="X82" i="239"/>
  <c r="W82" i="239"/>
  <c r="V82" i="239"/>
  <c r="U82" i="239"/>
  <c r="T82" i="239"/>
  <c r="S82" i="239"/>
  <c r="R82" i="239"/>
  <c r="Q82" i="239"/>
  <c r="P82" i="239"/>
  <c r="O82" i="239"/>
  <c r="N82" i="239"/>
  <c r="I82" i="239"/>
  <c r="H82" i="239"/>
  <c r="G82" i="239"/>
  <c r="F82" i="239"/>
  <c r="E82" i="239"/>
  <c r="D82" i="239"/>
  <c r="AA81" i="239"/>
  <c r="K81" i="239"/>
  <c r="J81" i="239"/>
  <c r="AA80" i="239"/>
  <c r="K80" i="239"/>
  <c r="J80" i="239"/>
  <c r="B80" i="239"/>
  <c r="AA79" i="239"/>
  <c r="K79" i="239"/>
  <c r="J79" i="239"/>
  <c r="B79" i="239"/>
  <c r="AA78" i="239"/>
  <c r="K78" i="239"/>
  <c r="J78" i="239"/>
  <c r="J82" i="239" s="1"/>
  <c r="B78" i="239"/>
  <c r="B77" i="239"/>
  <c r="Z75" i="239"/>
  <c r="Y75" i="239"/>
  <c r="X75" i="239"/>
  <c r="W75" i="239"/>
  <c r="V75" i="239"/>
  <c r="U75" i="239"/>
  <c r="T75" i="239"/>
  <c r="S75" i="239"/>
  <c r="R75" i="239"/>
  <c r="Q75" i="239"/>
  <c r="P75" i="239"/>
  <c r="O75" i="239"/>
  <c r="N75" i="239"/>
  <c r="I75" i="239"/>
  <c r="H75" i="239"/>
  <c r="G75" i="239"/>
  <c r="F75" i="239"/>
  <c r="E75" i="239"/>
  <c r="D75" i="239"/>
  <c r="AA74" i="239"/>
  <c r="K74" i="239"/>
  <c r="J74" i="239"/>
  <c r="AA73" i="239"/>
  <c r="K73" i="239"/>
  <c r="J73" i="239"/>
  <c r="J75" i="239" s="1"/>
  <c r="B73" i="239"/>
  <c r="B72" i="239"/>
  <c r="F70" i="239"/>
  <c r="AA69" i="239"/>
  <c r="J69" i="239"/>
  <c r="K69" i="239" s="1"/>
  <c r="Z68" i="239"/>
  <c r="Z70" i="239" s="1"/>
  <c r="Y68" i="239"/>
  <c r="Y70" i="239" s="1"/>
  <c r="X68" i="239"/>
  <c r="X70" i="239" s="1"/>
  <c r="W68" i="239"/>
  <c r="W70" i="239" s="1"/>
  <c r="V68" i="239"/>
  <c r="V70" i="239" s="1"/>
  <c r="U68" i="239"/>
  <c r="U70" i="239" s="1"/>
  <c r="T68" i="239"/>
  <c r="T70" i="239" s="1"/>
  <c r="S68" i="239"/>
  <c r="S70" i="239" s="1"/>
  <c r="R68" i="239"/>
  <c r="R70" i="239" s="1"/>
  <c r="Q68" i="239"/>
  <c r="Q70" i="239" s="1"/>
  <c r="P68" i="239"/>
  <c r="P70" i="239" s="1"/>
  <c r="O68" i="239"/>
  <c r="O70" i="239" s="1"/>
  <c r="N68" i="239"/>
  <c r="N70" i="239" s="1"/>
  <c r="I68" i="239"/>
  <c r="I70" i="239" s="1"/>
  <c r="H68" i="239"/>
  <c r="H70" i="239" s="1"/>
  <c r="G68" i="239"/>
  <c r="G70" i="239" s="1"/>
  <c r="F68" i="239"/>
  <c r="E68" i="239"/>
  <c r="E70" i="239" s="1"/>
  <c r="D68" i="239"/>
  <c r="D70" i="239" s="1"/>
  <c r="AA67" i="239"/>
  <c r="J67" i="239"/>
  <c r="K67" i="239" s="1"/>
  <c r="B67" i="239"/>
  <c r="AA66" i="239"/>
  <c r="J66" i="239"/>
  <c r="K66" i="239" s="1"/>
  <c r="B66" i="239"/>
  <c r="AA65" i="239"/>
  <c r="J65" i="239"/>
  <c r="K65" i="239" s="1"/>
  <c r="B65" i="239"/>
  <c r="AA64" i="239"/>
  <c r="J64" i="239"/>
  <c r="K64" i="239" s="1"/>
  <c r="B64" i="239"/>
  <c r="AA63" i="239"/>
  <c r="J63" i="239"/>
  <c r="K63" i="239" s="1"/>
  <c r="B63" i="239"/>
  <c r="AA62" i="239"/>
  <c r="J62" i="239"/>
  <c r="K62" i="239" s="1"/>
  <c r="B62" i="239"/>
  <c r="AA61" i="239"/>
  <c r="J61" i="239"/>
  <c r="K61" i="239" s="1"/>
  <c r="B61" i="239"/>
  <c r="AA60" i="239"/>
  <c r="J60" i="239"/>
  <c r="B60" i="239"/>
  <c r="AA59" i="239"/>
  <c r="J59" i="239"/>
  <c r="K59" i="239" s="1"/>
  <c r="B59" i="239"/>
  <c r="B58" i="239"/>
  <c r="T56" i="239"/>
  <c r="AA55" i="239"/>
  <c r="J55" i="239"/>
  <c r="K55" i="239" s="1"/>
  <c r="Z54" i="239"/>
  <c r="Z56" i="239" s="1"/>
  <c r="Y54" i="239"/>
  <c r="Y56" i="239" s="1"/>
  <c r="X54" i="239"/>
  <c r="X56" i="239" s="1"/>
  <c r="W54" i="239"/>
  <c r="W56" i="239" s="1"/>
  <c r="V54" i="239"/>
  <c r="V56" i="239" s="1"/>
  <c r="U54" i="239"/>
  <c r="U56" i="239" s="1"/>
  <c r="T54" i="239"/>
  <c r="S54" i="239"/>
  <c r="S56" i="239" s="1"/>
  <c r="R54" i="239"/>
  <c r="R56" i="239" s="1"/>
  <c r="Q54" i="239"/>
  <c r="Q56" i="239" s="1"/>
  <c r="P54" i="239"/>
  <c r="P56" i="239" s="1"/>
  <c r="O54" i="239"/>
  <c r="O56" i="239" s="1"/>
  <c r="N54" i="239"/>
  <c r="N56" i="239" s="1"/>
  <c r="I54" i="239"/>
  <c r="I56" i="239" s="1"/>
  <c r="H54" i="239"/>
  <c r="H56" i="239" s="1"/>
  <c r="G54" i="239"/>
  <c r="G56" i="239" s="1"/>
  <c r="F54" i="239"/>
  <c r="F56" i="239" s="1"/>
  <c r="E54" i="239"/>
  <c r="E56" i="239" s="1"/>
  <c r="D54" i="239"/>
  <c r="D56" i="239" s="1"/>
  <c r="AA53" i="239"/>
  <c r="J53" i="239"/>
  <c r="K53" i="239" s="1"/>
  <c r="B53" i="239"/>
  <c r="AA52" i="239"/>
  <c r="J52" i="239"/>
  <c r="K52" i="239" s="1"/>
  <c r="B52" i="239"/>
  <c r="AA51" i="239"/>
  <c r="J51" i="239"/>
  <c r="K51" i="239" s="1"/>
  <c r="B51" i="239"/>
  <c r="AA50" i="239"/>
  <c r="J50" i="239"/>
  <c r="K50" i="239" s="1"/>
  <c r="B50" i="239"/>
  <c r="AA49" i="239"/>
  <c r="J49" i="239"/>
  <c r="K49" i="239" s="1"/>
  <c r="B49" i="239"/>
  <c r="AA48" i="239"/>
  <c r="J48" i="239"/>
  <c r="B48" i="239"/>
  <c r="B47" i="239"/>
  <c r="Z45" i="239"/>
  <c r="Y45" i="239"/>
  <c r="X45" i="239"/>
  <c r="W45" i="239"/>
  <c r="V45" i="239"/>
  <c r="U45" i="239"/>
  <c r="T45" i="239"/>
  <c r="S45" i="239"/>
  <c r="R45" i="239"/>
  <c r="Q45" i="239"/>
  <c r="P45" i="239"/>
  <c r="O45" i="239"/>
  <c r="N45" i="239"/>
  <c r="I45" i="239"/>
  <c r="H45" i="239"/>
  <c r="G45" i="239"/>
  <c r="F45" i="239"/>
  <c r="E45" i="239"/>
  <c r="D45" i="239"/>
  <c r="AA44" i="239"/>
  <c r="J44" i="239"/>
  <c r="K44" i="239" s="1"/>
  <c r="AA43" i="239"/>
  <c r="J43" i="239"/>
  <c r="K43" i="239" s="1"/>
  <c r="B43" i="239"/>
  <c r="AA41" i="239"/>
  <c r="J41" i="239"/>
  <c r="K41" i="239" s="1"/>
  <c r="B41" i="239"/>
  <c r="AA40" i="239"/>
  <c r="J40" i="239"/>
  <c r="K40" i="239" s="1"/>
  <c r="B40" i="239"/>
  <c r="AA39" i="239"/>
  <c r="J39" i="239"/>
  <c r="K39" i="239" s="1"/>
  <c r="B39" i="239"/>
  <c r="AA38" i="239"/>
  <c r="J38" i="239"/>
  <c r="B38" i="239"/>
  <c r="B37" i="239"/>
  <c r="AA34" i="239"/>
  <c r="J34" i="239"/>
  <c r="K34" i="239" s="1"/>
  <c r="AA33" i="239"/>
  <c r="J33" i="239"/>
  <c r="K33" i="239" s="1"/>
  <c r="B33" i="239"/>
  <c r="AA32" i="239"/>
  <c r="J32" i="239"/>
  <c r="B32" i="239"/>
  <c r="B31" i="239"/>
  <c r="Z29" i="239"/>
  <c r="Y29" i="239"/>
  <c r="X29" i="239"/>
  <c r="W29" i="239"/>
  <c r="V29" i="239"/>
  <c r="U29" i="239"/>
  <c r="T29" i="239"/>
  <c r="S29" i="239"/>
  <c r="R29" i="239"/>
  <c r="Q29" i="239"/>
  <c r="P29" i="239"/>
  <c r="O29" i="239"/>
  <c r="N29" i="239"/>
  <c r="I29" i="239"/>
  <c r="H29" i="239"/>
  <c r="G29" i="239"/>
  <c r="F29" i="239"/>
  <c r="E29" i="239"/>
  <c r="D29" i="239"/>
  <c r="AA28" i="239"/>
  <c r="K28" i="239"/>
  <c r="J28" i="239"/>
  <c r="AA27" i="239"/>
  <c r="J27" i="239"/>
  <c r="K27" i="239" s="1"/>
  <c r="B27" i="239"/>
  <c r="AA26" i="239"/>
  <c r="J26" i="239"/>
  <c r="B26" i="239"/>
  <c r="B25" i="239"/>
  <c r="Z23" i="239"/>
  <c r="Y23" i="239"/>
  <c r="X23" i="239"/>
  <c r="W23" i="239"/>
  <c r="V23" i="239"/>
  <c r="U23" i="239"/>
  <c r="T23" i="239"/>
  <c r="S23" i="239"/>
  <c r="R23" i="239"/>
  <c r="Q23" i="239"/>
  <c r="P23" i="239"/>
  <c r="O23" i="239"/>
  <c r="N23" i="239"/>
  <c r="I23" i="239"/>
  <c r="H23" i="239"/>
  <c r="G23" i="239"/>
  <c r="G90" i="239" s="1"/>
  <c r="F23" i="239"/>
  <c r="E23" i="239"/>
  <c r="D23" i="239"/>
  <c r="AA22" i="239"/>
  <c r="J22" i="239"/>
  <c r="K22" i="239" s="1"/>
  <c r="AA21" i="239"/>
  <c r="J21" i="239"/>
  <c r="B21" i="239"/>
  <c r="AA20" i="239"/>
  <c r="AA23" i="239" s="1"/>
  <c r="J20" i="239"/>
  <c r="K20" i="239" s="1"/>
  <c r="B20" i="239"/>
  <c r="B19" i="239"/>
  <c r="B18" i="239"/>
  <c r="J13" i="239"/>
  <c r="AA12" i="239"/>
  <c r="J12" i="239"/>
  <c r="N5" i="239"/>
  <c r="D5" i="239"/>
  <c r="B202" i="238"/>
  <c r="B200" i="238"/>
  <c r="B198" i="238"/>
  <c r="B197" i="238"/>
  <c r="B195" i="238"/>
  <c r="D193" i="238"/>
  <c r="B192" i="238"/>
  <c r="B191" i="238"/>
  <c r="B190" i="238"/>
  <c r="B189" i="238"/>
  <c r="B188" i="238"/>
  <c r="B187" i="238"/>
  <c r="B186" i="238"/>
  <c r="B185" i="238"/>
  <c r="B184" i="238"/>
  <c r="B183" i="238"/>
  <c r="B182" i="238"/>
  <c r="D180" i="238"/>
  <c r="B179" i="238"/>
  <c r="B178" i="238"/>
  <c r="B177" i="238"/>
  <c r="B176" i="238"/>
  <c r="B175" i="238"/>
  <c r="B174" i="238"/>
  <c r="B173" i="238"/>
  <c r="B172" i="238"/>
  <c r="B171" i="238"/>
  <c r="B170" i="238"/>
  <c r="B169" i="238"/>
  <c r="B168" i="238"/>
  <c r="B167" i="238"/>
  <c r="B166" i="238"/>
  <c r="B165" i="238"/>
  <c r="B164" i="238"/>
  <c r="B163" i="238"/>
  <c r="B162" i="238"/>
  <c r="B161" i="238"/>
  <c r="B160" i="238"/>
  <c r="B159" i="238"/>
  <c r="B158" i="238"/>
  <c r="B157" i="238"/>
  <c r="D155" i="238"/>
  <c r="B154" i="238"/>
  <c r="B153" i="238"/>
  <c r="B152" i="238"/>
  <c r="B151" i="238"/>
  <c r="B150" i="238"/>
  <c r="B149" i="238"/>
  <c r="B148" i="238"/>
  <c r="B147" i="238"/>
  <c r="B146" i="238"/>
  <c r="B143" i="238"/>
  <c r="B142" i="238"/>
  <c r="B140" i="238"/>
  <c r="D138" i="238"/>
  <c r="B137" i="238"/>
  <c r="B136" i="238"/>
  <c r="B135" i="238"/>
  <c r="B134" i="238"/>
  <c r="B133" i="238"/>
  <c r="B132" i="238"/>
  <c r="B131" i="238"/>
  <c r="B130" i="238"/>
  <c r="B129" i="238"/>
  <c r="B128" i="238"/>
  <c r="B127" i="238"/>
  <c r="B126" i="238"/>
  <c r="B125" i="238"/>
  <c r="B124" i="238"/>
  <c r="B122" i="238"/>
  <c r="D120" i="238"/>
  <c r="B119" i="238"/>
  <c r="B118" i="238"/>
  <c r="B117" i="238"/>
  <c r="B116" i="238"/>
  <c r="B115" i="238"/>
  <c r="B114" i="238"/>
  <c r="D112" i="238"/>
  <c r="B111" i="238"/>
  <c r="B110" i="238"/>
  <c r="B109" i="238"/>
  <c r="B108" i="238"/>
  <c r="B107" i="238"/>
  <c r="B106" i="238"/>
  <c r="B105" i="238"/>
  <c r="B104" i="238"/>
  <c r="B103" i="238"/>
  <c r="D101" i="238"/>
  <c r="B100" i="238"/>
  <c r="B99" i="238"/>
  <c r="B98" i="238"/>
  <c r="B97" i="238"/>
  <c r="B96" i="238"/>
  <c r="B95" i="238"/>
  <c r="B94" i="238"/>
  <c r="B93" i="238"/>
  <c r="B92" i="238"/>
  <c r="D88" i="238"/>
  <c r="B86" i="238"/>
  <c r="B85" i="238"/>
  <c r="B84" i="238"/>
  <c r="D82" i="238"/>
  <c r="K83" i="239" s="1"/>
  <c r="B80" i="238"/>
  <c r="B79" i="238"/>
  <c r="B78" i="238"/>
  <c r="B77" i="238"/>
  <c r="D75" i="238"/>
  <c r="B73" i="238"/>
  <c r="B72" i="238"/>
  <c r="D68" i="238"/>
  <c r="D70" i="238" s="1"/>
  <c r="B67" i="238"/>
  <c r="B66" i="238"/>
  <c r="B65" i="238"/>
  <c r="B64" i="238"/>
  <c r="B63" i="238"/>
  <c r="B62" i="238"/>
  <c r="B61" i="238"/>
  <c r="B60" i="238"/>
  <c r="B59" i="238"/>
  <c r="B58" i="238"/>
  <c r="D54" i="238"/>
  <c r="D56" i="238" s="1"/>
  <c r="D90" i="238" s="1"/>
  <c r="B53" i="238"/>
  <c r="B52" i="238"/>
  <c r="B51" i="238"/>
  <c r="B50" i="238"/>
  <c r="B49" i="238"/>
  <c r="B48" i="238"/>
  <c r="B47" i="238"/>
  <c r="B43" i="238"/>
  <c r="B38" i="238"/>
  <c r="B37" i="238"/>
  <c r="B33" i="238"/>
  <c r="B32" i="238"/>
  <c r="B31" i="238"/>
  <c r="B27" i="238"/>
  <c r="B26" i="238"/>
  <c r="B25" i="238"/>
  <c r="B21" i="238"/>
  <c r="B20" i="238"/>
  <c r="B19" i="238"/>
  <c r="B18" i="238"/>
  <c r="B5" i="238"/>
  <c r="B202" i="102"/>
  <c r="B200" i="102"/>
  <c r="B198" i="102"/>
  <c r="B197" i="102"/>
  <c r="B195" i="102"/>
  <c r="B192" i="102"/>
  <c r="B191" i="102"/>
  <c r="B190" i="102"/>
  <c r="B189" i="102"/>
  <c r="B188" i="102"/>
  <c r="B187" i="102"/>
  <c r="B186" i="102"/>
  <c r="B185" i="102"/>
  <c r="B184" i="102"/>
  <c r="B183" i="102"/>
  <c r="B182"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4" i="102"/>
  <c r="B153" i="102"/>
  <c r="B152" i="102"/>
  <c r="B151" i="102"/>
  <c r="B150" i="102"/>
  <c r="B149" i="102"/>
  <c r="B148" i="102"/>
  <c r="B147" i="102"/>
  <c r="B146" i="102"/>
  <c r="B144" i="102"/>
  <c r="B143" i="102"/>
  <c r="B142" i="102"/>
  <c r="B140" i="102"/>
  <c r="B137" i="102"/>
  <c r="B136" i="102"/>
  <c r="B135" i="102"/>
  <c r="B134" i="102"/>
  <c r="B133" i="102"/>
  <c r="B132" i="102"/>
  <c r="B131" i="102"/>
  <c r="B130" i="102"/>
  <c r="B129" i="102"/>
  <c r="B128" i="102"/>
  <c r="B127" i="102"/>
  <c r="B126" i="102"/>
  <c r="B125" i="102"/>
  <c r="B124" i="102"/>
  <c r="B122" i="102"/>
  <c r="B119" i="102"/>
  <c r="E119" i="102" s="1"/>
  <c r="B118" i="102"/>
  <c r="G118" i="102" s="1"/>
  <c r="B117" i="102"/>
  <c r="G117" i="102" s="1"/>
  <c r="B116" i="102"/>
  <c r="G116" i="102" s="1"/>
  <c r="B115" i="102"/>
  <c r="E115" i="102" s="1"/>
  <c r="B114" i="102"/>
  <c r="B111" i="102"/>
  <c r="H111" i="102" s="1"/>
  <c r="B110" i="102"/>
  <c r="B109" i="102"/>
  <c r="B108" i="102"/>
  <c r="E108" i="102" s="1"/>
  <c r="B107" i="102"/>
  <c r="F107" i="102" s="1"/>
  <c r="B106" i="102"/>
  <c r="G106" i="102" s="1"/>
  <c r="B105" i="102"/>
  <c r="B104" i="102"/>
  <c r="B103" i="102"/>
  <c r="B100" i="102"/>
  <c r="B99" i="102"/>
  <c r="G99" i="102" s="1"/>
  <c r="B98" i="102"/>
  <c r="B97" i="102"/>
  <c r="G97" i="102" s="1"/>
  <c r="B96" i="102"/>
  <c r="B95" i="102"/>
  <c r="G95" i="102" s="1"/>
  <c r="B94" i="102"/>
  <c r="H94" i="102" s="1"/>
  <c r="B93" i="102"/>
  <c r="B92" i="102"/>
  <c r="B86" i="102"/>
  <c r="B85" i="102"/>
  <c r="B84" i="102"/>
  <c r="B80" i="102"/>
  <c r="B79" i="102"/>
  <c r="B78" i="102"/>
  <c r="B77" i="102"/>
  <c r="B73" i="102"/>
  <c r="B72" i="102"/>
  <c r="B67" i="102"/>
  <c r="B66" i="102"/>
  <c r="B65" i="102"/>
  <c r="B64" i="102"/>
  <c r="B63" i="102"/>
  <c r="B62" i="102"/>
  <c r="B61" i="102"/>
  <c r="B60" i="102"/>
  <c r="B59" i="102"/>
  <c r="B58" i="102"/>
  <c r="B53" i="102"/>
  <c r="B52" i="102"/>
  <c r="B51" i="102"/>
  <c r="B50" i="102"/>
  <c r="B49" i="102"/>
  <c r="B48" i="102"/>
  <c r="B47" i="102"/>
  <c r="B43" i="102"/>
  <c r="B40" i="102"/>
  <c r="B39" i="102"/>
  <c r="B38" i="102"/>
  <c r="B37" i="102"/>
  <c r="B33" i="102"/>
  <c r="B32" i="102"/>
  <c r="B31" i="102"/>
  <c r="B27" i="102"/>
  <c r="B26" i="102"/>
  <c r="B25" i="102"/>
  <c r="B21" i="102"/>
  <c r="B20" i="102"/>
  <c r="B19" i="102"/>
  <c r="B18" i="102"/>
  <c r="D16" i="102"/>
  <c r="B5" i="102"/>
  <c r="AC204" i="69"/>
  <c r="AD204" i="69" s="1"/>
  <c r="AE204" i="69" s="1"/>
  <c r="AF204" i="69" s="1"/>
  <c r="AG204" i="69" s="1"/>
  <c r="AH204" i="69" s="1"/>
  <c r="AI204" i="69" s="1"/>
  <c r="AJ204" i="69" s="1"/>
  <c r="AK204" i="69" s="1"/>
  <c r="AB204" i="69"/>
  <c r="Z204" i="69"/>
  <c r="AD203" i="69"/>
  <c r="AE203" i="69" s="1"/>
  <c r="AF203" i="69" s="1"/>
  <c r="AG203" i="69" s="1"/>
  <c r="AH203" i="69" s="1"/>
  <c r="AI203" i="69" s="1"/>
  <c r="AJ203" i="69" s="1"/>
  <c r="AK203" i="69" s="1"/>
  <c r="AB203" i="69"/>
  <c r="AC203" i="69" s="1"/>
  <c r="Z203" i="69"/>
  <c r="AD202" i="69"/>
  <c r="AE202" i="69" s="1"/>
  <c r="AF202" i="69" s="1"/>
  <c r="AG202" i="69" s="1"/>
  <c r="AH202" i="69" s="1"/>
  <c r="AI202" i="69" s="1"/>
  <c r="AJ202" i="69" s="1"/>
  <c r="AK202" i="69" s="1"/>
  <c r="AC202" i="69"/>
  <c r="AB202" i="69"/>
  <c r="Z202" i="69"/>
  <c r="AB201" i="69"/>
  <c r="AC201" i="69" s="1"/>
  <c r="AD201" i="69" s="1"/>
  <c r="AE201" i="69" s="1"/>
  <c r="AF201" i="69" s="1"/>
  <c r="AG201" i="69" s="1"/>
  <c r="AH201" i="69" s="1"/>
  <c r="AI201" i="69" s="1"/>
  <c r="AJ201" i="69" s="1"/>
  <c r="AK201" i="69" s="1"/>
  <c r="Z201" i="69"/>
  <c r="AB200" i="69"/>
  <c r="AC200" i="69" s="1"/>
  <c r="AD200" i="69" s="1"/>
  <c r="AE200" i="69" s="1"/>
  <c r="AF200" i="69" s="1"/>
  <c r="AG200" i="69" s="1"/>
  <c r="AH200" i="69" s="1"/>
  <c r="AI200" i="69" s="1"/>
  <c r="AJ200" i="69" s="1"/>
  <c r="AK200" i="69" s="1"/>
  <c r="Z200" i="69"/>
  <c r="AI199" i="69"/>
  <c r="AJ199" i="69" s="1"/>
  <c r="AK199" i="69" s="1"/>
  <c r="AB199" i="69"/>
  <c r="AC199" i="69" s="1"/>
  <c r="AD199" i="69" s="1"/>
  <c r="AE199" i="69" s="1"/>
  <c r="AF199" i="69" s="1"/>
  <c r="AG199" i="69" s="1"/>
  <c r="AH199" i="69" s="1"/>
  <c r="Z199" i="69"/>
  <c r="AC198" i="69"/>
  <c r="AD198" i="69" s="1"/>
  <c r="AE198" i="69" s="1"/>
  <c r="AF198" i="69" s="1"/>
  <c r="AG198" i="69" s="1"/>
  <c r="AH198" i="69" s="1"/>
  <c r="AI198" i="69" s="1"/>
  <c r="AJ198" i="69" s="1"/>
  <c r="AK198" i="69" s="1"/>
  <c r="AB198" i="69"/>
  <c r="Z198" i="69"/>
  <c r="AB197" i="69"/>
  <c r="AC197" i="69" s="1"/>
  <c r="AD197" i="69" s="1"/>
  <c r="AE197" i="69" s="1"/>
  <c r="AF197" i="69" s="1"/>
  <c r="AG197" i="69" s="1"/>
  <c r="AH197" i="69" s="1"/>
  <c r="AI197" i="69" s="1"/>
  <c r="AJ197" i="69" s="1"/>
  <c r="AK197" i="69" s="1"/>
  <c r="Z197" i="69"/>
  <c r="AF196" i="69"/>
  <c r="AG196" i="69" s="1"/>
  <c r="AH196" i="69" s="1"/>
  <c r="AI196" i="69" s="1"/>
  <c r="AJ196" i="69" s="1"/>
  <c r="AK196" i="69" s="1"/>
  <c r="AB196" i="69"/>
  <c r="AC196" i="69" s="1"/>
  <c r="AD196" i="69" s="1"/>
  <c r="AE196" i="69" s="1"/>
  <c r="Z196" i="69"/>
  <c r="AB195" i="69"/>
  <c r="AC195" i="69" s="1"/>
  <c r="AD195" i="69" s="1"/>
  <c r="AE195" i="69" s="1"/>
  <c r="AF195" i="69" s="1"/>
  <c r="AG195" i="69" s="1"/>
  <c r="AH195" i="69" s="1"/>
  <c r="AI195" i="69" s="1"/>
  <c r="AJ195" i="69" s="1"/>
  <c r="AK195" i="69" s="1"/>
  <c r="Z195" i="69"/>
  <c r="AC194" i="69"/>
  <c r="AD194" i="69" s="1"/>
  <c r="AE194" i="69" s="1"/>
  <c r="AF194" i="69" s="1"/>
  <c r="AG194" i="69" s="1"/>
  <c r="AH194" i="69" s="1"/>
  <c r="AI194" i="69" s="1"/>
  <c r="AJ194" i="69" s="1"/>
  <c r="AK194" i="69" s="1"/>
  <c r="AB194" i="69"/>
  <c r="C194" i="69"/>
  <c r="AD193" i="69"/>
  <c r="AE193" i="69" s="1"/>
  <c r="AF193" i="69" s="1"/>
  <c r="AG193" i="69" s="1"/>
  <c r="AH193" i="69" s="1"/>
  <c r="AI193" i="69" s="1"/>
  <c r="AJ193" i="69" s="1"/>
  <c r="AK193" i="69" s="1"/>
  <c r="AC193" i="69"/>
  <c r="AB193" i="69"/>
  <c r="Z193" i="69"/>
  <c r="AB192" i="69"/>
  <c r="AC192" i="69" s="1"/>
  <c r="AD192" i="69" s="1"/>
  <c r="AE192" i="69" s="1"/>
  <c r="AF192" i="69" s="1"/>
  <c r="AG192" i="69" s="1"/>
  <c r="AH192" i="69" s="1"/>
  <c r="AI192" i="69" s="1"/>
  <c r="AJ192" i="69" s="1"/>
  <c r="AK192" i="69" s="1"/>
  <c r="Z192" i="69"/>
  <c r="AB191" i="69"/>
  <c r="AC191" i="69" s="1"/>
  <c r="AD191" i="69" s="1"/>
  <c r="AE191" i="69" s="1"/>
  <c r="AF191" i="69" s="1"/>
  <c r="AG191" i="69" s="1"/>
  <c r="AH191" i="69" s="1"/>
  <c r="AI191" i="69" s="1"/>
  <c r="AJ191" i="69" s="1"/>
  <c r="AK191" i="69" s="1"/>
  <c r="Z191" i="69"/>
  <c r="AB190" i="69"/>
  <c r="AC190" i="69" s="1"/>
  <c r="AD190" i="69" s="1"/>
  <c r="AE190" i="69" s="1"/>
  <c r="AF190" i="69" s="1"/>
  <c r="AG190" i="69" s="1"/>
  <c r="AH190" i="69" s="1"/>
  <c r="AI190" i="69" s="1"/>
  <c r="AJ190" i="69" s="1"/>
  <c r="AK190" i="69" s="1"/>
  <c r="Z190" i="69"/>
  <c r="AC189" i="69"/>
  <c r="AD189" i="69" s="1"/>
  <c r="AE189" i="69" s="1"/>
  <c r="AF189" i="69" s="1"/>
  <c r="AG189" i="69" s="1"/>
  <c r="AH189" i="69" s="1"/>
  <c r="AI189" i="69" s="1"/>
  <c r="AJ189" i="69" s="1"/>
  <c r="AK189" i="69" s="1"/>
  <c r="AB189" i="69"/>
  <c r="Z189" i="69"/>
  <c r="AB188" i="69"/>
  <c r="AC188" i="69" s="1"/>
  <c r="AD188" i="69" s="1"/>
  <c r="AE188" i="69" s="1"/>
  <c r="AF188" i="69" s="1"/>
  <c r="AG188" i="69" s="1"/>
  <c r="AH188" i="69" s="1"/>
  <c r="AI188" i="69" s="1"/>
  <c r="AJ188" i="69" s="1"/>
  <c r="AK188" i="69" s="1"/>
  <c r="Z188" i="69"/>
  <c r="AB187" i="69"/>
  <c r="AC187" i="69" s="1"/>
  <c r="AD187" i="69" s="1"/>
  <c r="AE187" i="69" s="1"/>
  <c r="AF187" i="69" s="1"/>
  <c r="AG187" i="69" s="1"/>
  <c r="AH187" i="69" s="1"/>
  <c r="AI187" i="69" s="1"/>
  <c r="AJ187" i="69" s="1"/>
  <c r="AK187" i="69" s="1"/>
  <c r="Z187" i="69"/>
  <c r="AB186" i="69"/>
  <c r="AC186" i="69" s="1"/>
  <c r="AD186" i="69" s="1"/>
  <c r="AE186" i="69" s="1"/>
  <c r="AF186" i="69" s="1"/>
  <c r="AG186" i="69" s="1"/>
  <c r="AH186" i="69" s="1"/>
  <c r="AI186" i="69" s="1"/>
  <c r="AJ186" i="69" s="1"/>
  <c r="AK186" i="69" s="1"/>
  <c r="Z186" i="69"/>
  <c r="AC185" i="69"/>
  <c r="AD185" i="69" s="1"/>
  <c r="AE185" i="69" s="1"/>
  <c r="AF185" i="69" s="1"/>
  <c r="AG185" i="69" s="1"/>
  <c r="AH185" i="69" s="1"/>
  <c r="AI185" i="69" s="1"/>
  <c r="AJ185" i="69" s="1"/>
  <c r="AK185" i="69" s="1"/>
  <c r="AB185" i="69"/>
  <c r="Z185" i="69"/>
  <c r="AC184" i="69"/>
  <c r="AD184" i="69" s="1"/>
  <c r="AE184" i="69" s="1"/>
  <c r="AF184" i="69" s="1"/>
  <c r="AG184" i="69" s="1"/>
  <c r="AH184" i="69" s="1"/>
  <c r="AI184" i="69" s="1"/>
  <c r="AJ184" i="69" s="1"/>
  <c r="AK184" i="69" s="1"/>
  <c r="AB184" i="69"/>
  <c r="Z184" i="69"/>
  <c r="AB183" i="69"/>
  <c r="AC183" i="69" s="1"/>
  <c r="AD183" i="69" s="1"/>
  <c r="AE183" i="69" s="1"/>
  <c r="AF183" i="69" s="1"/>
  <c r="AG183" i="69" s="1"/>
  <c r="AH183" i="69" s="1"/>
  <c r="AI183" i="69" s="1"/>
  <c r="AJ183" i="69" s="1"/>
  <c r="AK183" i="69" s="1"/>
  <c r="Z183" i="69"/>
  <c r="AB182" i="69"/>
  <c r="AC182" i="69" s="1"/>
  <c r="AD182" i="69" s="1"/>
  <c r="AE182" i="69" s="1"/>
  <c r="AF182" i="69" s="1"/>
  <c r="AG182" i="69" s="1"/>
  <c r="AH182" i="69" s="1"/>
  <c r="AI182" i="69" s="1"/>
  <c r="AJ182" i="69" s="1"/>
  <c r="AK182" i="69" s="1"/>
  <c r="Z182" i="69"/>
  <c r="AG181" i="69"/>
  <c r="AH181" i="69" s="1"/>
  <c r="AI181" i="69" s="1"/>
  <c r="AJ181" i="69" s="1"/>
  <c r="AK181" i="69" s="1"/>
  <c r="AC181" i="69"/>
  <c r="AD181" i="69" s="1"/>
  <c r="AE181" i="69" s="1"/>
  <c r="AF181" i="69" s="1"/>
  <c r="AB181" i="69"/>
  <c r="C181" i="69"/>
  <c r="B180" i="102" s="1"/>
  <c r="AC180" i="69"/>
  <c r="AD180" i="69" s="1"/>
  <c r="AE180" i="69" s="1"/>
  <c r="AF180" i="69" s="1"/>
  <c r="AG180" i="69" s="1"/>
  <c r="AH180" i="69" s="1"/>
  <c r="AI180" i="69" s="1"/>
  <c r="AJ180" i="69" s="1"/>
  <c r="AK180" i="69" s="1"/>
  <c r="AB180" i="69"/>
  <c r="Z180" i="69"/>
  <c r="AB179" i="69"/>
  <c r="AC179" i="69" s="1"/>
  <c r="AD179" i="69" s="1"/>
  <c r="AE179" i="69" s="1"/>
  <c r="AF179" i="69" s="1"/>
  <c r="AG179" i="69" s="1"/>
  <c r="AH179" i="69" s="1"/>
  <c r="AI179" i="69" s="1"/>
  <c r="AJ179" i="69" s="1"/>
  <c r="AK179" i="69" s="1"/>
  <c r="Z179" i="69"/>
  <c r="AF178" i="69"/>
  <c r="AG178" i="69" s="1"/>
  <c r="AH178" i="69" s="1"/>
  <c r="AI178" i="69" s="1"/>
  <c r="AJ178" i="69" s="1"/>
  <c r="AK178" i="69" s="1"/>
  <c r="AB178" i="69"/>
  <c r="AC178" i="69" s="1"/>
  <c r="AD178" i="69" s="1"/>
  <c r="AE178" i="69" s="1"/>
  <c r="Z178" i="69"/>
  <c r="AB177" i="69"/>
  <c r="AC177" i="69" s="1"/>
  <c r="AD177" i="69" s="1"/>
  <c r="AE177" i="69" s="1"/>
  <c r="AF177" i="69" s="1"/>
  <c r="AG177" i="69" s="1"/>
  <c r="AH177" i="69" s="1"/>
  <c r="AI177" i="69" s="1"/>
  <c r="AJ177" i="69" s="1"/>
  <c r="AK177" i="69" s="1"/>
  <c r="Z177" i="69"/>
  <c r="AC176" i="69"/>
  <c r="AD176" i="69" s="1"/>
  <c r="AE176" i="69" s="1"/>
  <c r="AF176" i="69" s="1"/>
  <c r="AG176" i="69" s="1"/>
  <c r="AH176" i="69" s="1"/>
  <c r="AI176" i="69" s="1"/>
  <c r="AJ176" i="69" s="1"/>
  <c r="AK176" i="69" s="1"/>
  <c r="AB176" i="69"/>
  <c r="Z176" i="69"/>
  <c r="AC175" i="69"/>
  <c r="AD175" i="69" s="1"/>
  <c r="AE175" i="69" s="1"/>
  <c r="AF175" i="69" s="1"/>
  <c r="AG175" i="69" s="1"/>
  <c r="AH175" i="69" s="1"/>
  <c r="AI175" i="69" s="1"/>
  <c r="AJ175" i="69" s="1"/>
  <c r="AK175" i="69" s="1"/>
  <c r="AB175" i="69"/>
  <c r="Z175" i="69"/>
  <c r="AB174" i="69"/>
  <c r="AC174" i="69" s="1"/>
  <c r="AD174" i="69" s="1"/>
  <c r="AE174" i="69" s="1"/>
  <c r="AF174" i="69" s="1"/>
  <c r="AG174" i="69" s="1"/>
  <c r="AH174" i="69" s="1"/>
  <c r="AI174" i="69" s="1"/>
  <c r="AJ174" i="69" s="1"/>
  <c r="AK174" i="69" s="1"/>
  <c r="Z174" i="69"/>
  <c r="AB173" i="69"/>
  <c r="AC173" i="69" s="1"/>
  <c r="AD173" i="69" s="1"/>
  <c r="AE173" i="69" s="1"/>
  <c r="AF173" i="69" s="1"/>
  <c r="AG173" i="69" s="1"/>
  <c r="AH173" i="69" s="1"/>
  <c r="AI173" i="69" s="1"/>
  <c r="AJ173" i="69" s="1"/>
  <c r="AK173" i="69" s="1"/>
  <c r="Z173" i="69"/>
  <c r="AG172" i="69"/>
  <c r="AH172" i="69" s="1"/>
  <c r="AI172" i="69" s="1"/>
  <c r="AJ172" i="69" s="1"/>
  <c r="AK172" i="69" s="1"/>
  <c r="AC172" i="69"/>
  <c r="AD172" i="69" s="1"/>
  <c r="AE172" i="69" s="1"/>
  <c r="AF172" i="69" s="1"/>
  <c r="AB172" i="69"/>
  <c r="Z172" i="69"/>
  <c r="AD171" i="69"/>
  <c r="AE171" i="69" s="1"/>
  <c r="AF171" i="69" s="1"/>
  <c r="AG171" i="69" s="1"/>
  <c r="AH171" i="69" s="1"/>
  <c r="AI171" i="69" s="1"/>
  <c r="AJ171" i="69" s="1"/>
  <c r="AK171" i="69" s="1"/>
  <c r="AB171" i="69"/>
  <c r="AC171" i="69" s="1"/>
  <c r="Z171" i="69"/>
  <c r="AC170" i="69"/>
  <c r="AD170" i="69" s="1"/>
  <c r="AE170" i="69" s="1"/>
  <c r="AF170" i="69" s="1"/>
  <c r="AG170" i="69" s="1"/>
  <c r="AH170" i="69" s="1"/>
  <c r="AI170" i="69" s="1"/>
  <c r="AJ170" i="69" s="1"/>
  <c r="AK170" i="69" s="1"/>
  <c r="AB170" i="69"/>
  <c r="Z170" i="69"/>
  <c r="AD169" i="69"/>
  <c r="AE169" i="69" s="1"/>
  <c r="AF169" i="69" s="1"/>
  <c r="AG169" i="69" s="1"/>
  <c r="AH169" i="69" s="1"/>
  <c r="AI169" i="69" s="1"/>
  <c r="AJ169" i="69" s="1"/>
  <c r="AK169" i="69" s="1"/>
  <c r="AB169" i="69"/>
  <c r="AC169" i="69" s="1"/>
  <c r="Z169" i="69"/>
  <c r="AD168" i="69"/>
  <c r="AE168" i="69" s="1"/>
  <c r="AF168" i="69" s="1"/>
  <c r="AG168" i="69" s="1"/>
  <c r="AH168" i="69" s="1"/>
  <c r="AI168" i="69" s="1"/>
  <c r="AJ168" i="69" s="1"/>
  <c r="AK168" i="69" s="1"/>
  <c r="AC168" i="69"/>
  <c r="AB168" i="69"/>
  <c r="Z168" i="69"/>
  <c r="AB167" i="69"/>
  <c r="AC167" i="69" s="1"/>
  <c r="AD167" i="69" s="1"/>
  <c r="AE167" i="69" s="1"/>
  <c r="AF167" i="69" s="1"/>
  <c r="AG167" i="69" s="1"/>
  <c r="AH167" i="69" s="1"/>
  <c r="AI167" i="69" s="1"/>
  <c r="AJ167" i="69" s="1"/>
  <c r="AK167" i="69" s="1"/>
  <c r="Z167" i="69"/>
  <c r="AG166" i="69"/>
  <c r="AH166" i="69" s="1"/>
  <c r="AI166" i="69" s="1"/>
  <c r="AJ166" i="69" s="1"/>
  <c r="AK166" i="69" s="1"/>
  <c r="AB166" i="69"/>
  <c r="AC166" i="69" s="1"/>
  <c r="AD166" i="69" s="1"/>
  <c r="AE166" i="69" s="1"/>
  <c r="AF166" i="69" s="1"/>
  <c r="Z166" i="69"/>
  <c r="AB165" i="69"/>
  <c r="AC165" i="69" s="1"/>
  <c r="AD165" i="69" s="1"/>
  <c r="AE165" i="69" s="1"/>
  <c r="AF165" i="69" s="1"/>
  <c r="AG165" i="69" s="1"/>
  <c r="AH165" i="69" s="1"/>
  <c r="AI165" i="69" s="1"/>
  <c r="AJ165" i="69" s="1"/>
  <c r="AK165" i="69" s="1"/>
  <c r="Z165" i="69"/>
  <c r="AD164" i="69"/>
  <c r="AE164" i="69" s="1"/>
  <c r="AF164" i="69" s="1"/>
  <c r="AG164" i="69" s="1"/>
  <c r="AH164" i="69" s="1"/>
  <c r="AI164" i="69" s="1"/>
  <c r="AJ164" i="69" s="1"/>
  <c r="AK164" i="69" s="1"/>
  <c r="AC164" i="69"/>
  <c r="AB164" i="69"/>
  <c r="Z164" i="69"/>
  <c r="AD163" i="69"/>
  <c r="AE163" i="69" s="1"/>
  <c r="AF163" i="69" s="1"/>
  <c r="AG163" i="69" s="1"/>
  <c r="AH163" i="69" s="1"/>
  <c r="AI163" i="69" s="1"/>
  <c r="AJ163" i="69" s="1"/>
  <c r="AK163" i="69" s="1"/>
  <c r="AB163" i="69"/>
  <c r="AC163" i="69" s="1"/>
  <c r="Z163" i="69"/>
  <c r="AB162" i="69"/>
  <c r="AC162" i="69" s="1"/>
  <c r="AD162" i="69" s="1"/>
  <c r="AE162" i="69" s="1"/>
  <c r="AF162" i="69" s="1"/>
  <c r="AG162" i="69" s="1"/>
  <c r="AH162" i="69" s="1"/>
  <c r="AI162" i="69" s="1"/>
  <c r="AJ162" i="69" s="1"/>
  <c r="AK162" i="69" s="1"/>
  <c r="Z162" i="69"/>
  <c r="AF161" i="69"/>
  <c r="AG161" i="69" s="1"/>
  <c r="AH161" i="69" s="1"/>
  <c r="AI161" i="69" s="1"/>
  <c r="AJ161" i="69" s="1"/>
  <c r="AK161" i="69" s="1"/>
  <c r="AB161" i="69"/>
  <c r="AC161" i="69" s="1"/>
  <c r="AD161" i="69" s="1"/>
  <c r="AE161" i="69" s="1"/>
  <c r="Z161" i="69"/>
  <c r="AC160" i="69"/>
  <c r="AD160" i="69" s="1"/>
  <c r="AE160" i="69" s="1"/>
  <c r="AF160" i="69" s="1"/>
  <c r="AG160" i="69" s="1"/>
  <c r="AH160" i="69" s="1"/>
  <c r="AI160" i="69" s="1"/>
  <c r="AJ160" i="69" s="1"/>
  <c r="AK160" i="69" s="1"/>
  <c r="AB160" i="69"/>
  <c r="Z160" i="69"/>
  <c r="AB159" i="69"/>
  <c r="AC159" i="69" s="1"/>
  <c r="AD159" i="69" s="1"/>
  <c r="AE159" i="69" s="1"/>
  <c r="AF159" i="69" s="1"/>
  <c r="AG159" i="69" s="1"/>
  <c r="AH159" i="69" s="1"/>
  <c r="AI159" i="69" s="1"/>
  <c r="AJ159" i="69" s="1"/>
  <c r="AK159" i="69" s="1"/>
  <c r="Z159" i="69"/>
  <c r="AB158" i="69"/>
  <c r="AC158" i="69" s="1"/>
  <c r="AD158" i="69" s="1"/>
  <c r="AE158" i="69" s="1"/>
  <c r="AF158" i="69" s="1"/>
  <c r="AG158" i="69" s="1"/>
  <c r="AH158" i="69" s="1"/>
  <c r="AI158" i="69" s="1"/>
  <c r="AJ158" i="69" s="1"/>
  <c r="AK158" i="69" s="1"/>
  <c r="Z158" i="69"/>
  <c r="AF157" i="69"/>
  <c r="AG157" i="69" s="1"/>
  <c r="AH157" i="69" s="1"/>
  <c r="AI157" i="69" s="1"/>
  <c r="AJ157" i="69" s="1"/>
  <c r="AK157" i="69" s="1"/>
  <c r="AB157" i="69"/>
  <c r="AC157" i="69" s="1"/>
  <c r="AD157" i="69" s="1"/>
  <c r="AE157" i="69" s="1"/>
  <c r="Z157" i="69"/>
  <c r="AB156" i="69"/>
  <c r="AC156" i="69" s="1"/>
  <c r="AD156" i="69" s="1"/>
  <c r="AE156" i="69" s="1"/>
  <c r="AF156" i="69" s="1"/>
  <c r="AG156" i="69" s="1"/>
  <c r="AH156" i="69" s="1"/>
  <c r="AI156" i="69" s="1"/>
  <c r="AJ156" i="69" s="1"/>
  <c r="AK156" i="69" s="1"/>
  <c r="Z156" i="69"/>
  <c r="C156" i="69"/>
  <c r="B155" i="238" s="1"/>
  <c r="AD155" i="69"/>
  <c r="AE155" i="69" s="1"/>
  <c r="AF155" i="69" s="1"/>
  <c r="AG155" i="69" s="1"/>
  <c r="AH155" i="69" s="1"/>
  <c r="AI155" i="69" s="1"/>
  <c r="AJ155" i="69" s="1"/>
  <c r="AK155" i="69" s="1"/>
  <c r="AC155" i="69"/>
  <c r="AB155" i="69"/>
  <c r="Z155" i="69"/>
  <c r="AD154" i="69"/>
  <c r="AE154" i="69" s="1"/>
  <c r="AF154" i="69" s="1"/>
  <c r="AG154" i="69" s="1"/>
  <c r="AH154" i="69" s="1"/>
  <c r="AI154" i="69" s="1"/>
  <c r="AJ154" i="69" s="1"/>
  <c r="AK154" i="69" s="1"/>
  <c r="AB154" i="69"/>
  <c r="AC154" i="69" s="1"/>
  <c r="Z154" i="69"/>
  <c r="AB153" i="69"/>
  <c r="AC153" i="69" s="1"/>
  <c r="AD153" i="69" s="1"/>
  <c r="AE153" i="69" s="1"/>
  <c r="AF153" i="69" s="1"/>
  <c r="AG153" i="69" s="1"/>
  <c r="AH153" i="69" s="1"/>
  <c r="AI153" i="69" s="1"/>
  <c r="AJ153" i="69" s="1"/>
  <c r="AK153" i="69" s="1"/>
  <c r="Z153" i="69"/>
  <c r="AF152" i="69"/>
  <c r="AG152" i="69" s="1"/>
  <c r="AH152" i="69" s="1"/>
  <c r="AI152" i="69" s="1"/>
  <c r="AJ152" i="69" s="1"/>
  <c r="AK152" i="69" s="1"/>
  <c r="AB152" i="69"/>
  <c r="AC152" i="69" s="1"/>
  <c r="AD152" i="69" s="1"/>
  <c r="AE152" i="69" s="1"/>
  <c r="Z152" i="69"/>
  <c r="AC151" i="69"/>
  <c r="AD151" i="69" s="1"/>
  <c r="AE151" i="69" s="1"/>
  <c r="AF151" i="69" s="1"/>
  <c r="AG151" i="69" s="1"/>
  <c r="AH151" i="69" s="1"/>
  <c r="AI151" i="69" s="1"/>
  <c r="AJ151" i="69" s="1"/>
  <c r="AK151" i="69" s="1"/>
  <c r="AB151" i="69"/>
  <c r="Z151" i="69"/>
  <c r="AB150" i="69"/>
  <c r="AC150" i="69" s="1"/>
  <c r="AD150" i="69" s="1"/>
  <c r="AE150" i="69" s="1"/>
  <c r="AF150" i="69" s="1"/>
  <c r="AG150" i="69" s="1"/>
  <c r="AH150" i="69" s="1"/>
  <c r="AI150" i="69" s="1"/>
  <c r="AJ150" i="69" s="1"/>
  <c r="AK150" i="69" s="1"/>
  <c r="Z150" i="69"/>
  <c r="AB149" i="69"/>
  <c r="AC149" i="69" s="1"/>
  <c r="AD149" i="69" s="1"/>
  <c r="AE149" i="69" s="1"/>
  <c r="AF149" i="69" s="1"/>
  <c r="AG149" i="69" s="1"/>
  <c r="AH149" i="69" s="1"/>
  <c r="AI149" i="69" s="1"/>
  <c r="AJ149" i="69" s="1"/>
  <c r="AK149" i="69" s="1"/>
  <c r="Z149" i="69"/>
  <c r="AF148" i="69"/>
  <c r="AG148" i="69" s="1"/>
  <c r="AH148" i="69" s="1"/>
  <c r="AI148" i="69" s="1"/>
  <c r="AJ148" i="69" s="1"/>
  <c r="AK148" i="69" s="1"/>
  <c r="AB148" i="69"/>
  <c r="AC148" i="69" s="1"/>
  <c r="AD148" i="69" s="1"/>
  <c r="AE148" i="69" s="1"/>
  <c r="Z148" i="69"/>
  <c r="AB147" i="69"/>
  <c r="AC147" i="69" s="1"/>
  <c r="AD147" i="69" s="1"/>
  <c r="AE147" i="69" s="1"/>
  <c r="AF147" i="69" s="1"/>
  <c r="AG147" i="69" s="1"/>
  <c r="AH147" i="69" s="1"/>
  <c r="AI147" i="69" s="1"/>
  <c r="AJ147" i="69" s="1"/>
  <c r="AK147" i="69" s="1"/>
  <c r="Z147" i="69"/>
  <c r="AB145" i="69"/>
  <c r="AC145" i="69" s="1"/>
  <c r="AD145" i="69" s="1"/>
  <c r="AE145" i="69" s="1"/>
  <c r="AF145" i="69" s="1"/>
  <c r="AG145" i="69" s="1"/>
  <c r="AH145" i="69" s="1"/>
  <c r="AI145" i="69" s="1"/>
  <c r="AJ145" i="69" s="1"/>
  <c r="AK145" i="69" s="1"/>
  <c r="Z145" i="69"/>
  <c r="AC144" i="69"/>
  <c r="AD144" i="69" s="1"/>
  <c r="AE144" i="69" s="1"/>
  <c r="AF144" i="69" s="1"/>
  <c r="AG144" i="69" s="1"/>
  <c r="AH144" i="69" s="1"/>
  <c r="AI144" i="69" s="1"/>
  <c r="AJ144" i="69" s="1"/>
  <c r="AK144" i="69" s="1"/>
  <c r="AB144" i="69"/>
  <c r="Z144" i="69"/>
  <c r="Z143" i="69"/>
  <c r="Z142" i="69"/>
  <c r="AB141" i="69"/>
  <c r="AC141" i="69" s="1"/>
  <c r="AD141" i="69" s="1"/>
  <c r="AE141" i="69" s="1"/>
  <c r="AF141" i="69" s="1"/>
  <c r="AG141" i="69" s="1"/>
  <c r="AH141" i="69" s="1"/>
  <c r="AI141" i="69" s="1"/>
  <c r="AJ141" i="69" s="1"/>
  <c r="AK141" i="69" s="1"/>
  <c r="Z141" i="69"/>
  <c r="AB140" i="69"/>
  <c r="AC140" i="69" s="1"/>
  <c r="AD140" i="69" s="1"/>
  <c r="AE140" i="69" s="1"/>
  <c r="AF140" i="69" s="1"/>
  <c r="AG140" i="69" s="1"/>
  <c r="AH140" i="69" s="1"/>
  <c r="AI140" i="69" s="1"/>
  <c r="AJ140" i="69" s="1"/>
  <c r="AK140" i="69" s="1"/>
  <c r="Z140" i="69"/>
  <c r="AB139" i="69"/>
  <c r="AC139" i="69" s="1"/>
  <c r="AD139" i="69" s="1"/>
  <c r="AE139" i="69" s="1"/>
  <c r="AF139" i="69" s="1"/>
  <c r="AG139" i="69" s="1"/>
  <c r="AH139" i="69" s="1"/>
  <c r="AI139" i="69" s="1"/>
  <c r="AJ139" i="69" s="1"/>
  <c r="AK139" i="69" s="1"/>
  <c r="C139" i="69"/>
  <c r="B138" i="102" s="1"/>
  <c r="AB138" i="69"/>
  <c r="AC138" i="69" s="1"/>
  <c r="AD138" i="69" s="1"/>
  <c r="AE138" i="69" s="1"/>
  <c r="AF138" i="69" s="1"/>
  <c r="AG138" i="69" s="1"/>
  <c r="AH138" i="69" s="1"/>
  <c r="AI138" i="69" s="1"/>
  <c r="AJ138" i="69" s="1"/>
  <c r="AK138" i="69" s="1"/>
  <c r="Z138" i="69"/>
  <c r="AE137" i="69"/>
  <c r="AF137" i="69" s="1"/>
  <c r="AG137" i="69" s="1"/>
  <c r="AH137" i="69" s="1"/>
  <c r="AI137" i="69" s="1"/>
  <c r="AJ137" i="69" s="1"/>
  <c r="AK137" i="69" s="1"/>
  <c r="AB137" i="69"/>
  <c r="AC137" i="69" s="1"/>
  <c r="AD137" i="69" s="1"/>
  <c r="Z137" i="69"/>
  <c r="AB136" i="69"/>
  <c r="AC136" i="69" s="1"/>
  <c r="AD136" i="69" s="1"/>
  <c r="AE136" i="69" s="1"/>
  <c r="AF136" i="69" s="1"/>
  <c r="AG136" i="69" s="1"/>
  <c r="AH136" i="69" s="1"/>
  <c r="AI136" i="69" s="1"/>
  <c r="AJ136" i="69" s="1"/>
  <c r="AK136" i="69" s="1"/>
  <c r="Z136" i="69"/>
  <c r="AB135" i="69"/>
  <c r="AC135" i="69" s="1"/>
  <c r="AD135" i="69" s="1"/>
  <c r="AE135" i="69" s="1"/>
  <c r="AF135" i="69" s="1"/>
  <c r="AG135" i="69" s="1"/>
  <c r="AH135" i="69" s="1"/>
  <c r="AI135" i="69" s="1"/>
  <c r="AJ135" i="69" s="1"/>
  <c r="AK135" i="69" s="1"/>
  <c r="Z135" i="69"/>
  <c r="AB134" i="69"/>
  <c r="AC134" i="69" s="1"/>
  <c r="AD134" i="69" s="1"/>
  <c r="AE134" i="69" s="1"/>
  <c r="AF134" i="69" s="1"/>
  <c r="AG134" i="69" s="1"/>
  <c r="AH134" i="69" s="1"/>
  <c r="AI134" i="69" s="1"/>
  <c r="AJ134" i="69" s="1"/>
  <c r="AK134" i="69" s="1"/>
  <c r="Z134" i="69"/>
  <c r="AB133" i="69"/>
  <c r="AC133" i="69" s="1"/>
  <c r="AD133" i="69" s="1"/>
  <c r="AE133" i="69" s="1"/>
  <c r="AF133" i="69" s="1"/>
  <c r="AG133" i="69" s="1"/>
  <c r="AH133" i="69" s="1"/>
  <c r="AI133" i="69" s="1"/>
  <c r="AJ133" i="69" s="1"/>
  <c r="AK133" i="69" s="1"/>
  <c r="Z133" i="69"/>
  <c r="AB132" i="69"/>
  <c r="AC132" i="69" s="1"/>
  <c r="AD132" i="69" s="1"/>
  <c r="AE132" i="69" s="1"/>
  <c r="AF132" i="69" s="1"/>
  <c r="AG132" i="69" s="1"/>
  <c r="AH132" i="69" s="1"/>
  <c r="AI132" i="69" s="1"/>
  <c r="AJ132" i="69" s="1"/>
  <c r="AK132" i="69" s="1"/>
  <c r="Z132" i="69"/>
  <c r="AB131" i="69"/>
  <c r="AC131" i="69" s="1"/>
  <c r="AD131" i="69" s="1"/>
  <c r="AE131" i="69" s="1"/>
  <c r="AF131" i="69" s="1"/>
  <c r="AG131" i="69" s="1"/>
  <c r="AH131" i="69" s="1"/>
  <c r="AI131" i="69" s="1"/>
  <c r="AJ131" i="69" s="1"/>
  <c r="AK131" i="69" s="1"/>
  <c r="Z131" i="69"/>
  <c r="AB130" i="69"/>
  <c r="AC130" i="69" s="1"/>
  <c r="AD130" i="69" s="1"/>
  <c r="AE130" i="69" s="1"/>
  <c r="AF130" i="69" s="1"/>
  <c r="AG130" i="69" s="1"/>
  <c r="AH130" i="69" s="1"/>
  <c r="AI130" i="69" s="1"/>
  <c r="AJ130" i="69" s="1"/>
  <c r="AK130" i="69" s="1"/>
  <c r="Z130" i="69"/>
  <c r="AB129" i="69"/>
  <c r="AC129" i="69" s="1"/>
  <c r="AD129" i="69" s="1"/>
  <c r="AE129" i="69" s="1"/>
  <c r="AF129" i="69" s="1"/>
  <c r="AG129" i="69" s="1"/>
  <c r="AH129" i="69" s="1"/>
  <c r="AI129" i="69" s="1"/>
  <c r="AJ129" i="69" s="1"/>
  <c r="AK129" i="69" s="1"/>
  <c r="Z129" i="69"/>
  <c r="AB128" i="69"/>
  <c r="AC128" i="69" s="1"/>
  <c r="AD128" i="69" s="1"/>
  <c r="AE128" i="69" s="1"/>
  <c r="AF128" i="69" s="1"/>
  <c r="AG128" i="69" s="1"/>
  <c r="AH128" i="69" s="1"/>
  <c r="AI128" i="69" s="1"/>
  <c r="AJ128" i="69" s="1"/>
  <c r="AK128" i="69" s="1"/>
  <c r="Z128" i="69"/>
  <c r="AB127" i="69"/>
  <c r="AC127" i="69" s="1"/>
  <c r="AD127" i="69" s="1"/>
  <c r="AE127" i="69" s="1"/>
  <c r="AF127" i="69" s="1"/>
  <c r="AG127" i="69" s="1"/>
  <c r="AH127" i="69" s="1"/>
  <c r="AI127" i="69" s="1"/>
  <c r="AJ127" i="69" s="1"/>
  <c r="AK127" i="69" s="1"/>
  <c r="Z127" i="69"/>
  <c r="AB126" i="69"/>
  <c r="AC126" i="69" s="1"/>
  <c r="AD126" i="69" s="1"/>
  <c r="AE126" i="69" s="1"/>
  <c r="AF126" i="69" s="1"/>
  <c r="AG126" i="69" s="1"/>
  <c r="AH126" i="69" s="1"/>
  <c r="AI126" i="69" s="1"/>
  <c r="AJ126" i="69" s="1"/>
  <c r="AK126" i="69" s="1"/>
  <c r="Z126" i="69"/>
  <c r="AB125" i="69"/>
  <c r="AC125" i="69" s="1"/>
  <c r="AD125" i="69" s="1"/>
  <c r="AE125" i="69" s="1"/>
  <c r="AF125" i="69" s="1"/>
  <c r="AG125" i="69" s="1"/>
  <c r="AH125" i="69" s="1"/>
  <c r="AI125" i="69" s="1"/>
  <c r="AJ125" i="69" s="1"/>
  <c r="AK125" i="69" s="1"/>
  <c r="Z125" i="69"/>
  <c r="AB124" i="69"/>
  <c r="AC124" i="69" s="1"/>
  <c r="AD124" i="69" s="1"/>
  <c r="AE124" i="69" s="1"/>
  <c r="AF124" i="69" s="1"/>
  <c r="AG124" i="69" s="1"/>
  <c r="AH124" i="69" s="1"/>
  <c r="AI124" i="69" s="1"/>
  <c r="AJ124" i="69" s="1"/>
  <c r="AK124" i="69" s="1"/>
  <c r="Z124" i="69"/>
  <c r="Z123" i="69"/>
  <c r="AB122" i="69"/>
  <c r="AC122" i="69" s="1"/>
  <c r="AD122" i="69" s="1"/>
  <c r="AE122" i="69" s="1"/>
  <c r="AF122" i="69" s="1"/>
  <c r="AG122" i="69" s="1"/>
  <c r="AH122" i="69" s="1"/>
  <c r="AI122" i="69" s="1"/>
  <c r="AJ122" i="69" s="1"/>
  <c r="AK122" i="69" s="1"/>
  <c r="Z122" i="69"/>
  <c r="AB121" i="69"/>
  <c r="AC121" i="69" s="1"/>
  <c r="AD121" i="69" s="1"/>
  <c r="AE121" i="69" s="1"/>
  <c r="AF121" i="69" s="1"/>
  <c r="AG121" i="69" s="1"/>
  <c r="AH121" i="69" s="1"/>
  <c r="AI121" i="69" s="1"/>
  <c r="AJ121" i="69" s="1"/>
  <c r="AK121" i="69" s="1"/>
  <c r="C121" i="69"/>
  <c r="AC120" i="69"/>
  <c r="AD120" i="69" s="1"/>
  <c r="AE120" i="69" s="1"/>
  <c r="AF120" i="69" s="1"/>
  <c r="AG120" i="69" s="1"/>
  <c r="AH120" i="69" s="1"/>
  <c r="AI120" i="69" s="1"/>
  <c r="AJ120" i="69" s="1"/>
  <c r="AK120" i="69" s="1"/>
  <c r="AB120" i="69"/>
  <c r="Z120" i="69"/>
  <c r="AE119" i="69"/>
  <c r="AF119" i="69" s="1"/>
  <c r="AG119" i="69" s="1"/>
  <c r="AH119" i="69" s="1"/>
  <c r="AI119" i="69" s="1"/>
  <c r="AJ119" i="69" s="1"/>
  <c r="AK119" i="69" s="1"/>
  <c r="AB119" i="69"/>
  <c r="AC119" i="69" s="1"/>
  <c r="AD119" i="69" s="1"/>
  <c r="Z119" i="69"/>
  <c r="AB118" i="69"/>
  <c r="AC118" i="69" s="1"/>
  <c r="AD118" i="69" s="1"/>
  <c r="AE118" i="69" s="1"/>
  <c r="AF118" i="69" s="1"/>
  <c r="AG118" i="69" s="1"/>
  <c r="AH118" i="69" s="1"/>
  <c r="AI118" i="69" s="1"/>
  <c r="AJ118" i="69" s="1"/>
  <c r="AK118" i="69" s="1"/>
  <c r="Z118" i="69"/>
  <c r="AB117" i="69"/>
  <c r="AC117" i="69" s="1"/>
  <c r="AD117" i="69" s="1"/>
  <c r="AE117" i="69" s="1"/>
  <c r="AF117" i="69" s="1"/>
  <c r="AG117" i="69" s="1"/>
  <c r="AH117" i="69" s="1"/>
  <c r="AI117" i="69" s="1"/>
  <c r="AJ117" i="69" s="1"/>
  <c r="AK117" i="69" s="1"/>
  <c r="Z117" i="69"/>
  <c r="AB116" i="69"/>
  <c r="AC116" i="69" s="1"/>
  <c r="AD116" i="69" s="1"/>
  <c r="AE116" i="69" s="1"/>
  <c r="AF116" i="69" s="1"/>
  <c r="AG116" i="69" s="1"/>
  <c r="AH116" i="69" s="1"/>
  <c r="AI116" i="69" s="1"/>
  <c r="AJ116" i="69" s="1"/>
  <c r="AK116" i="69" s="1"/>
  <c r="Z116" i="69"/>
  <c r="AB115" i="69"/>
  <c r="AC115" i="69" s="1"/>
  <c r="AD115" i="69" s="1"/>
  <c r="AE115" i="69" s="1"/>
  <c r="AF115" i="69" s="1"/>
  <c r="AG115" i="69" s="1"/>
  <c r="AH115" i="69" s="1"/>
  <c r="AI115" i="69" s="1"/>
  <c r="AJ115" i="69" s="1"/>
  <c r="AK115" i="69" s="1"/>
  <c r="Z115" i="69"/>
  <c r="AN114" i="69"/>
  <c r="AB114" i="69"/>
  <c r="AC114" i="69" s="1"/>
  <c r="AD114" i="69" s="1"/>
  <c r="AE114" i="69" s="1"/>
  <c r="AF114" i="69" s="1"/>
  <c r="AG114" i="69" s="1"/>
  <c r="AH114" i="69" s="1"/>
  <c r="AI114" i="69" s="1"/>
  <c r="AJ114" i="69" s="1"/>
  <c r="AK114" i="69" s="1"/>
  <c r="Z114" i="69"/>
  <c r="AN113" i="69"/>
  <c r="AB113" i="69"/>
  <c r="AC113" i="69" s="1"/>
  <c r="AD113" i="69" s="1"/>
  <c r="AE113" i="69" s="1"/>
  <c r="AF113" i="69" s="1"/>
  <c r="AG113" i="69" s="1"/>
  <c r="AH113" i="69" s="1"/>
  <c r="AI113" i="69" s="1"/>
  <c r="AJ113" i="69" s="1"/>
  <c r="AK113" i="69" s="1"/>
  <c r="Z113" i="69"/>
  <c r="C113" i="69"/>
  <c r="AN112" i="69"/>
  <c r="AB112" i="69"/>
  <c r="AC112" i="69" s="1"/>
  <c r="AD112" i="69" s="1"/>
  <c r="AE112" i="69" s="1"/>
  <c r="AF112" i="69" s="1"/>
  <c r="AG112" i="69" s="1"/>
  <c r="AH112" i="69" s="1"/>
  <c r="AI112" i="69" s="1"/>
  <c r="AJ112" i="69" s="1"/>
  <c r="AK112" i="69" s="1"/>
  <c r="Z112" i="69"/>
  <c r="AN111" i="69"/>
  <c r="AB111" i="69"/>
  <c r="AC111" i="69" s="1"/>
  <c r="AD111" i="69" s="1"/>
  <c r="AE111" i="69" s="1"/>
  <c r="AF111" i="69" s="1"/>
  <c r="AG111" i="69" s="1"/>
  <c r="AH111" i="69" s="1"/>
  <c r="AI111" i="69" s="1"/>
  <c r="AJ111" i="69" s="1"/>
  <c r="AK111" i="69" s="1"/>
  <c r="Z111" i="69"/>
  <c r="AN110" i="69"/>
  <c r="AB110" i="69"/>
  <c r="AC110" i="69" s="1"/>
  <c r="AD110" i="69" s="1"/>
  <c r="AE110" i="69" s="1"/>
  <c r="AF110" i="69" s="1"/>
  <c r="AG110" i="69" s="1"/>
  <c r="AH110" i="69" s="1"/>
  <c r="AI110" i="69" s="1"/>
  <c r="AJ110" i="69" s="1"/>
  <c r="AK110" i="69" s="1"/>
  <c r="Z110" i="69"/>
  <c r="AN109" i="69"/>
  <c r="AB109" i="69"/>
  <c r="AC109" i="69" s="1"/>
  <c r="AD109" i="69" s="1"/>
  <c r="AE109" i="69" s="1"/>
  <c r="AF109" i="69" s="1"/>
  <c r="AG109" i="69" s="1"/>
  <c r="AH109" i="69" s="1"/>
  <c r="AI109" i="69" s="1"/>
  <c r="AJ109" i="69" s="1"/>
  <c r="AK109" i="69" s="1"/>
  <c r="Z109" i="69"/>
  <c r="AN108" i="69"/>
  <c r="AB108" i="69"/>
  <c r="AC108" i="69" s="1"/>
  <c r="AD108" i="69" s="1"/>
  <c r="AE108" i="69" s="1"/>
  <c r="AF108" i="69" s="1"/>
  <c r="AG108" i="69" s="1"/>
  <c r="AH108" i="69" s="1"/>
  <c r="AI108" i="69" s="1"/>
  <c r="AJ108" i="69" s="1"/>
  <c r="AK108" i="69" s="1"/>
  <c r="Z108" i="69"/>
  <c r="AN107" i="69"/>
  <c r="AB107" i="69"/>
  <c r="AC107" i="69" s="1"/>
  <c r="AD107" i="69" s="1"/>
  <c r="AE107" i="69" s="1"/>
  <c r="AF107" i="69" s="1"/>
  <c r="AG107" i="69" s="1"/>
  <c r="AH107" i="69" s="1"/>
  <c r="AI107" i="69" s="1"/>
  <c r="AJ107" i="69" s="1"/>
  <c r="AK107" i="69" s="1"/>
  <c r="Z107" i="69"/>
  <c r="AN106" i="69"/>
  <c r="AB106" i="69"/>
  <c r="AC106" i="69" s="1"/>
  <c r="AD106" i="69" s="1"/>
  <c r="AE106" i="69" s="1"/>
  <c r="AF106" i="69" s="1"/>
  <c r="AG106" i="69" s="1"/>
  <c r="AH106" i="69" s="1"/>
  <c r="AI106" i="69" s="1"/>
  <c r="AJ106" i="69" s="1"/>
  <c r="AK106" i="69" s="1"/>
  <c r="Z106" i="69"/>
  <c r="AN105" i="69"/>
  <c r="AB105" i="69"/>
  <c r="AC105" i="69" s="1"/>
  <c r="AD105" i="69" s="1"/>
  <c r="AE105" i="69" s="1"/>
  <c r="AF105" i="69" s="1"/>
  <c r="AG105" i="69" s="1"/>
  <c r="AH105" i="69" s="1"/>
  <c r="AI105" i="69" s="1"/>
  <c r="AJ105" i="69" s="1"/>
  <c r="AK105" i="69" s="1"/>
  <c r="Z105" i="69"/>
  <c r="AN104" i="69"/>
  <c r="AB104" i="69"/>
  <c r="AC104" i="69" s="1"/>
  <c r="AD104" i="69" s="1"/>
  <c r="AE104" i="69" s="1"/>
  <c r="AF104" i="69" s="1"/>
  <c r="AG104" i="69" s="1"/>
  <c r="AH104" i="69" s="1"/>
  <c r="AI104" i="69" s="1"/>
  <c r="AJ104" i="69" s="1"/>
  <c r="AK104" i="69" s="1"/>
  <c r="Z104" i="69"/>
  <c r="AN103" i="69"/>
  <c r="AB103" i="69"/>
  <c r="AC103" i="69" s="1"/>
  <c r="AD103" i="69" s="1"/>
  <c r="AE103" i="69" s="1"/>
  <c r="AF103" i="69" s="1"/>
  <c r="AG103" i="69" s="1"/>
  <c r="AH103" i="69" s="1"/>
  <c r="AI103" i="69" s="1"/>
  <c r="AJ103" i="69" s="1"/>
  <c r="AK103" i="69" s="1"/>
  <c r="Z103" i="69"/>
  <c r="AN102" i="69"/>
  <c r="AB102" i="69"/>
  <c r="AC102" i="69" s="1"/>
  <c r="AD102" i="69" s="1"/>
  <c r="AE102" i="69" s="1"/>
  <c r="AF102" i="69" s="1"/>
  <c r="AG102" i="69" s="1"/>
  <c r="AH102" i="69" s="1"/>
  <c r="AI102" i="69" s="1"/>
  <c r="AJ102" i="69" s="1"/>
  <c r="AK102" i="69" s="1"/>
  <c r="C102" i="69"/>
  <c r="AN101" i="69"/>
  <c r="AB101" i="69"/>
  <c r="AC101" i="69" s="1"/>
  <c r="AD101" i="69" s="1"/>
  <c r="AE101" i="69" s="1"/>
  <c r="AF101" i="69" s="1"/>
  <c r="AG101" i="69" s="1"/>
  <c r="AH101" i="69" s="1"/>
  <c r="AI101" i="69" s="1"/>
  <c r="AJ101" i="69" s="1"/>
  <c r="AK101" i="69" s="1"/>
  <c r="Z101" i="69"/>
  <c r="AN100" i="69"/>
  <c r="AB100" i="69"/>
  <c r="AC100" i="69" s="1"/>
  <c r="AD100" i="69" s="1"/>
  <c r="AE100" i="69" s="1"/>
  <c r="AF100" i="69" s="1"/>
  <c r="AG100" i="69" s="1"/>
  <c r="AH100" i="69" s="1"/>
  <c r="AI100" i="69" s="1"/>
  <c r="AJ100" i="69" s="1"/>
  <c r="AK100" i="69" s="1"/>
  <c r="Z100" i="69"/>
  <c r="AN99" i="69"/>
  <c r="AB99" i="69"/>
  <c r="AC99" i="69" s="1"/>
  <c r="AD99" i="69" s="1"/>
  <c r="AE99" i="69" s="1"/>
  <c r="AF99" i="69" s="1"/>
  <c r="AG99" i="69" s="1"/>
  <c r="AH99" i="69" s="1"/>
  <c r="AI99" i="69" s="1"/>
  <c r="AJ99" i="69" s="1"/>
  <c r="AK99" i="69" s="1"/>
  <c r="Z99" i="69"/>
  <c r="AN98" i="69"/>
  <c r="AB98" i="69"/>
  <c r="AC98" i="69" s="1"/>
  <c r="AD98" i="69" s="1"/>
  <c r="AE98" i="69" s="1"/>
  <c r="AF98" i="69" s="1"/>
  <c r="AG98" i="69" s="1"/>
  <c r="AH98" i="69" s="1"/>
  <c r="AI98" i="69" s="1"/>
  <c r="AJ98" i="69" s="1"/>
  <c r="AK98" i="69" s="1"/>
  <c r="Z98" i="69"/>
  <c r="AN97" i="69"/>
  <c r="AB97" i="69"/>
  <c r="AC97" i="69" s="1"/>
  <c r="AD97" i="69" s="1"/>
  <c r="AE97" i="69" s="1"/>
  <c r="AF97" i="69" s="1"/>
  <c r="AG97" i="69" s="1"/>
  <c r="AH97" i="69" s="1"/>
  <c r="AI97" i="69" s="1"/>
  <c r="AJ97" i="69" s="1"/>
  <c r="AK97" i="69" s="1"/>
  <c r="Z97" i="69"/>
  <c r="AN96" i="69"/>
  <c r="AB96" i="69"/>
  <c r="AC96" i="69" s="1"/>
  <c r="AD96" i="69" s="1"/>
  <c r="AE96" i="69" s="1"/>
  <c r="AF96" i="69" s="1"/>
  <c r="AG96" i="69" s="1"/>
  <c r="AH96" i="69" s="1"/>
  <c r="AI96" i="69" s="1"/>
  <c r="AJ96" i="69" s="1"/>
  <c r="AK96" i="69" s="1"/>
  <c r="Z96" i="69"/>
  <c r="AN95" i="69"/>
  <c r="AB95" i="69"/>
  <c r="AC95" i="69" s="1"/>
  <c r="AD95" i="69" s="1"/>
  <c r="AE95" i="69" s="1"/>
  <c r="AF95" i="69" s="1"/>
  <c r="AG95" i="69" s="1"/>
  <c r="AH95" i="69" s="1"/>
  <c r="AI95" i="69" s="1"/>
  <c r="AJ95" i="69" s="1"/>
  <c r="AK95" i="69" s="1"/>
  <c r="Z95" i="69"/>
  <c r="AB94" i="69"/>
  <c r="AC94" i="69" s="1"/>
  <c r="AD94" i="69" s="1"/>
  <c r="AE94" i="69" s="1"/>
  <c r="AF94" i="69" s="1"/>
  <c r="AG94" i="69" s="1"/>
  <c r="AH94" i="69" s="1"/>
  <c r="AI94" i="69" s="1"/>
  <c r="AJ94" i="69" s="1"/>
  <c r="AK94" i="69" s="1"/>
  <c r="Z94" i="69"/>
  <c r="AB93" i="69"/>
  <c r="AC93" i="69" s="1"/>
  <c r="AD93" i="69" s="1"/>
  <c r="AE93" i="69" s="1"/>
  <c r="AF93" i="69" s="1"/>
  <c r="AG93" i="69" s="1"/>
  <c r="AH93" i="69" s="1"/>
  <c r="AI93" i="69" s="1"/>
  <c r="AJ93" i="69" s="1"/>
  <c r="AK93" i="69" s="1"/>
  <c r="Z93" i="69"/>
  <c r="AB92" i="69"/>
  <c r="AC92" i="69" s="1"/>
  <c r="AD92" i="69" s="1"/>
  <c r="AE92" i="69" s="1"/>
  <c r="AF92" i="69" s="1"/>
  <c r="AG92" i="69" s="1"/>
  <c r="AH92" i="69" s="1"/>
  <c r="AI92" i="69" s="1"/>
  <c r="AJ92" i="69" s="1"/>
  <c r="AK92" i="69" s="1"/>
  <c r="Z92" i="69"/>
  <c r="AB91" i="69"/>
  <c r="AC91" i="69" s="1"/>
  <c r="AD91" i="69" s="1"/>
  <c r="AE91" i="69" s="1"/>
  <c r="AF91" i="69" s="1"/>
  <c r="AG91" i="69" s="1"/>
  <c r="AH91" i="69" s="1"/>
  <c r="AI91" i="69" s="1"/>
  <c r="AJ91" i="69" s="1"/>
  <c r="AK91" i="69" s="1"/>
  <c r="C91" i="69"/>
  <c r="AB90" i="69"/>
  <c r="AC90" i="69" s="1"/>
  <c r="AD90" i="69" s="1"/>
  <c r="AE90" i="69" s="1"/>
  <c r="AF90" i="69" s="1"/>
  <c r="AG90" i="69" s="1"/>
  <c r="AH90" i="69" s="1"/>
  <c r="AI90" i="69" s="1"/>
  <c r="AJ90" i="69" s="1"/>
  <c r="AK90" i="69" s="1"/>
  <c r="Z90" i="69"/>
  <c r="AB89" i="69"/>
  <c r="AC89" i="69" s="1"/>
  <c r="AD89" i="69" s="1"/>
  <c r="AE89" i="69" s="1"/>
  <c r="AF89" i="69" s="1"/>
  <c r="AG89" i="69" s="1"/>
  <c r="AH89" i="69" s="1"/>
  <c r="AI89" i="69" s="1"/>
  <c r="AJ89" i="69" s="1"/>
  <c r="AK89" i="69" s="1"/>
  <c r="C89" i="69"/>
  <c r="AB88" i="69"/>
  <c r="AC88" i="69" s="1"/>
  <c r="AD88" i="69" s="1"/>
  <c r="AE88" i="69" s="1"/>
  <c r="AF88" i="69" s="1"/>
  <c r="AG88" i="69" s="1"/>
  <c r="AH88" i="69" s="1"/>
  <c r="AI88" i="69" s="1"/>
  <c r="AJ88" i="69" s="1"/>
  <c r="AK88" i="69" s="1"/>
  <c r="C88" i="69"/>
  <c r="Z88" i="69" s="1"/>
  <c r="AB87" i="69"/>
  <c r="AC87" i="69" s="1"/>
  <c r="AD87" i="69" s="1"/>
  <c r="AE87" i="69" s="1"/>
  <c r="AF87" i="69" s="1"/>
  <c r="AG87" i="69" s="1"/>
  <c r="AH87" i="69" s="1"/>
  <c r="AI87" i="69" s="1"/>
  <c r="AJ87" i="69" s="1"/>
  <c r="AK87" i="69" s="1"/>
  <c r="Z87" i="69"/>
  <c r="AB86" i="69"/>
  <c r="AC86" i="69" s="1"/>
  <c r="AD86" i="69" s="1"/>
  <c r="AE86" i="69" s="1"/>
  <c r="AF86" i="69" s="1"/>
  <c r="AG86" i="69" s="1"/>
  <c r="AH86" i="69" s="1"/>
  <c r="AI86" i="69" s="1"/>
  <c r="AJ86" i="69" s="1"/>
  <c r="AK86" i="69" s="1"/>
  <c r="Z86" i="69"/>
  <c r="AB85" i="69"/>
  <c r="AC85" i="69" s="1"/>
  <c r="AD85" i="69" s="1"/>
  <c r="AE85" i="69" s="1"/>
  <c r="AF85" i="69" s="1"/>
  <c r="AG85" i="69" s="1"/>
  <c r="AH85" i="69" s="1"/>
  <c r="AI85" i="69" s="1"/>
  <c r="AJ85" i="69" s="1"/>
  <c r="AK85" i="69" s="1"/>
  <c r="Z85" i="69"/>
  <c r="AB84" i="69"/>
  <c r="AC84" i="69" s="1"/>
  <c r="AD84" i="69" s="1"/>
  <c r="AE84" i="69" s="1"/>
  <c r="AF84" i="69" s="1"/>
  <c r="AG84" i="69" s="1"/>
  <c r="AH84" i="69" s="1"/>
  <c r="AI84" i="69" s="1"/>
  <c r="AJ84" i="69" s="1"/>
  <c r="AK84" i="69" s="1"/>
  <c r="Z84" i="69"/>
  <c r="AB83" i="69"/>
  <c r="AC83" i="69" s="1"/>
  <c r="AD83" i="69" s="1"/>
  <c r="AE83" i="69" s="1"/>
  <c r="AF83" i="69" s="1"/>
  <c r="AG83" i="69" s="1"/>
  <c r="AH83" i="69" s="1"/>
  <c r="AI83" i="69" s="1"/>
  <c r="AJ83" i="69" s="1"/>
  <c r="AK83" i="69" s="1"/>
  <c r="C83" i="69"/>
  <c r="AB82" i="69"/>
  <c r="AC82" i="69" s="1"/>
  <c r="AD82" i="69" s="1"/>
  <c r="AE82" i="69" s="1"/>
  <c r="AF82" i="69" s="1"/>
  <c r="AG82" i="69" s="1"/>
  <c r="AH82" i="69" s="1"/>
  <c r="AI82" i="69" s="1"/>
  <c r="AJ82" i="69" s="1"/>
  <c r="AK82" i="69" s="1"/>
  <c r="C82" i="69"/>
  <c r="AB81" i="69"/>
  <c r="AC81" i="69" s="1"/>
  <c r="AD81" i="69" s="1"/>
  <c r="AE81" i="69" s="1"/>
  <c r="AF81" i="69" s="1"/>
  <c r="AG81" i="69" s="1"/>
  <c r="AH81" i="69" s="1"/>
  <c r="AI81" i="69" s="1"/>
  <c r="AJ81" i="69" s="1"/>
  <c r="AK81" i="69" s="1"/>
  <c r="Z81" i="69"/>
  <c r="AB80" i="69"/>
  <c r="AC80" i="69" s="1"/>
  <c r="AD80" i="69" s="1"/>
  <c r="AE80" i="69" s="1"/>
  <c r="AF80" i="69" s="1"/>
  <c r="AG80" i="69" s="1"/>
  <c r="AH80" i="69" s="1"/>
  <c r="AI80" i="69" s="1"/>
  <c r="AJ80" i="69" s="1"/>
  <c r="AK80" i="69" s="1"/>
  <c r="Z80" i="69"/>
  <c r="AB79" i="69"/>
  <c r="AC79" i="69" s="1"/>
  <c r="AD79" i="69" s="1"/>
  <c r="AE79" i="69" s="1"/>
  <c r="AF79" i="69" s="1"/>
  <c r="AG79" i="69" s="1"/>
  <c r="AH79" i="69" s="1"/>
  <c r="AI79" i="69" s="1"/>
  <c r="AJ79" i="69" s="1"/>
  <c r="AK79" i="69" s="1"/>
  <c r="Z79" i="69"/>
  <c r="AB78" i="69"/>
  <c r="AC78" i="69" s="1"/>
  <c r="AD78" i="69" s="1"/>
  <c r="AE78" i="69" s="1"/>
  <c r="AF78" i="69" s="1"/>
  <c r="AG78" i="69" s="1"/>
  <c r="AH78" i="69" s="1"/>
  <c r="AI78" i="69" s="1"/>
  <c r="AJ78" i="69" s="1"/>
  <c r="AK78" i="69" s="1"/>
  <c r="Z78" i="69"/>
  <c r="AB77" i="69"/>
  <c r="AC77" i="69" s="1"/>
  <c r="AD77" i="69" s="1"/>
  <c r="AE77" i="69" s="1"/>
  <c r="AF77" i="69" s="1"/>
  <c r="AG77" i="69" s="1"/>
  <c r="AH77" i="69" s="1"/>
  <c r="AI77" i="69" s="1"/>
  <c r="AJ77" i="69" s="1"/>
  <c r="AK77" i="69" s="1"/>
  <c r="Z77" i="69"/>
  <c r="AB76" i="69"/>
  <c r="AC76" i="69" s="1"/>
  <c r="AD76" i="69" s="1"/>
  <c r="AE76" i="69" s="1"/>
  <c r="AF76" i="69" s="1"/>
  <c r="AG76" i="69" s="1"/>
  <c r="AH76" i="69" s="1"/>
  <c r="AI76" i="69" s="1"/>
  <c r="AJ76" i="69" s="1"/>
  <c r="AK76" i="69" s="1"/>
  <c r="C76" i="69"/>
  <c r="B75" i="102" s="1"/>
  <c r="AB75" i="69"/>
  <c r="AC75" i="69" s="1"/>
  <c r="AD75" i="69" s="1"/>
  <c r="AE75" i="69" s="1"/>
  <c r="AF75" i="69" s="1"/>
  <c r="AG75" i="69" s="1"/>
  <c r="AH75" i="69" s="1"/>
  <c r="AI75" i="69" s="1"/>
  <c r="AJ75" i="69" s="1"/>
  <c r="AK75" i="69" s="1"/>
  <c r="C75" i="69"/>
  <c r="AB74" i="69"/>
  <c r="AC74" i="69" s="1"/>
  <c r="AD74" i="69" s="1"/>
  <c r="AE74" i="69" s="1"/>
  <c r="AF74" i="69" s="1"/>
  <c r="AG74" i="69" s="1"/>
  <c r="AH74" i="69" s="1"/>
  <c r="AI74" i="69" s="1"/>
  <c r="AJ74" i="69" s="1"/>
  <c r="AK74" i="69" s="1"/>
  <c r="Z74" i="69"/>
  <c r="AF73" i="69"/>
  <c r="AG73" i="69" s="1"/>
  <c r="AH73" i="69" s="1"/>
  <c r="AI73" i="69" s="1"/>
  <c r="AJ73" i="69" s="1"/>
  <c r="AK73" i="69" s="1"/>
  <c r="AB73" i="69"/>
  <c r="AC73" i="69" s="1"/>
  <c r="AD73" i="69" s="1"/>
  <c r="AE73" i="69" s="1"/>
  <c r="Z73" i="69"/>
  <c r="AB72" i="69"/>
  <c r="AC72" i="69" s="1"/>
  <c r="AD72" i="69" s="1"/>
  <c r="AE72" i="69" s="1"/>
  <c r="AF72" i="69" s="1"/>
  <c r="AG72" i="69" s="1"/>
  <c r="AH72" i="69" s="1"/>
  <c r="AI72" i="69" s="1"/>
  <c r="AJ72" i="69" s="1"/>
  <c r="AK72" i="69" s="1"/>
  <c r="Z72" i="69"/>
  <c r="AB71" i="69"/>
  <c r="AC71" i="69" s="1"/>
  <c r="AD71" i="69" s="1"/>
  <c r="AE71" i="69" s="1"/>
  <c r="AF71" i="69" s="1"/>
  <c r="AG71" i="69" s="1"/>
  <c r="AH71" i="69" s="1"/>
  <c r="AI71" i="69" s="1"/>
  <c r="AJ71" i="69" s="1"/>
  <c r="AK71" i="69" s="1"/>
  <c r="C71" i="69"/>
  <c r="AB70" i="69"/>
  <c r="AC70" i="69" s="1"/>
  <c r="AD70" i="69" s="1"/>
  <c r="AE70" i="69" s="1"/>
  <c r="AF70" i="69" s="1"/>
  <c r="AG70" i="69" s="1"/>
  <c r="AH70" i="69" s="1"/>
  <c r="AI70" i="69" s="1"/>
  <c r="AJ70" i="69" s="1"/>
  <c r="AK70" i="69" s="1"/>
  <c r="Z70" i="69"/>
  <c r="C70" i="69"/>
  <c r="C69" i="69"/>
  <c r="B68" i="102" s="1"/>
  <c r="AB68" i="69"/>
  <c r="AC68" i="69" s="1"/>
  <c r="AD68" i="69" s="1"/>
  <c r="AE68" i="69" s="1"/>
  <c r="AF68" i="69" s="1"/>
  <c r="AG68" i="69" s="1"/>
  <c r="AH68" i="69" s="1"/>
  <c r="AI68" i="69" s="1"/>
  <c r="AJ68" i="69" s="1"/>
  <c r="AK68" i="69" s="1"/>
  <c r="Z68" i="69"/>
  <c r="AB67" i="69"/>
  <c r="AC67" i="69" s="1"/>
  <c r="AD67" i="69" s="1"/>
  <c r="AE67" i="69" s="1"/>
  <c r="AF67" i="69" s="1"/>
  <c r="AG67" i="69" s="1"/>
  <c r="AH67" i="69" s="1"/>
  <c r="AI67" i="69" s="1"/>
  <c r="AJ67" i="69" s="1"/>
  <c r="AK67" i="69" s="1"/>
  <c r="Z67" i="69"/>
  <c r="AB66" i="69"/>
  <c r="AC66" i="69" s="1"/>
  <c r="AD66" i="69" s="1"/>
  <c r="AE66" i="69" s="1"/>
  <c r="AF66" i="69" s="1"/>
  <c r="AG66" i="69" s="1"/>
  <c r="AH66" i="69" s="1"/>
  <c r="AI66" i="69" s="1"/>
  <c r="AJ66" i="69" s="1"/>
  <c r="AK66" i="69" s="1"/>
  <c r="Z66" i="69"/>
  <c r="AB65" i="69"/>
  <c r="AC65" i="69" s="1"/>
  <c r="AD65" i="69" s="1"/>
  <c r="AE65" i="69" s="1"/>
  <c r="AF65" i="69" s="1"/>
  <c r="AG65" i="69" s="1"/>
  <c r="AH65" i="69" s="1"/>
  <c r="AI65" i="69" s="1"/>
  <c r="AJ65" i="69" s="1"/>
  <c r="AK65" i="69" s="1"/>
  <c r="Z65" i="69"/>
  <c r="AB64" i="69"/>
  <c r="AC64" i="69" s="1"/>
  <c r="AD64" i="69" s="1"/>
  <c r="AE64" i="69" s="1"/>
  <c r="AF64" i="69" s="1"/>
  <c r="AG64" i="69" s="1"/>
  <c r="AH64" i="69" s="1"/>
  <c r="AI64" i="69" s="1"/>
  <c r="AJ64" i="69" s="1"/>
  <c r="AK64" i="69" s="1"/>
  <c r="Z64" i="69"/>
  <c r="AB63" i="69"/>
  <c r="AC63" i="69" s="1"/>
  <c r="AD63" i="69" s="1"/>
  <c r="AE63" i="69" s="1"/>
  <c r="AF63" i="69" s="1"/>
  <c r="AG63" i="69" s="1"/>
  <c r="AH63" i="69" s="1"/>
  <c r="AI63" i="69" s="1"/>
  <c r="AJ63" i="69" s="1"/>
  <c r="AK63" i="69" s="1"/>
  <c r="Z63" i="69"/>
  <c r="AB62" i="69"/>
  <c r="AC62" i="69" s="1"/>
  <c r="AD62" i="69" s="1"/>
  <c r="AE62" i="69" s="1"/>
  <c r="AF62" i="69" s="1"/>
  <c r="AG62" i="69" s="1"/>
  <c r="AH62" i="69" s="1"/>
  <c r="AI62" i="69" s="1"/>
  <c r="AJ62" i="69" s="1"/>
  <c r="AK62" i="69" s="1"/>
  <c r="Z62" i="69"/>
  <c r="AB61" i="69"/>
  <c r="AC61" i="69" s="1"/>
  <c r="AD61" i="69" s="1"/>
  <c r="AE61" i="69" s="1"/>
  <c r="AF61" i="69" s="1"/>
  <c r="AG61" i="69" s="1"/>
  <c r="AH61" i="69" s="1"/>
  <c r="AI61" i="69" s="1"/>
  <c r="AJ61" i="69" s="1"/>
  <c r="AK61" i="69" s="1"/>
  <c r="Z61" i="69"/>
  <c r="AB60" i="69"/>
  <c r="AC60" i="69" s="1"/>
  <c r="AD60" i="69" s="1"/>
  <c r="AE60" i="69" s="1"/>
  <c r="AF60" i="69" s="1"/>
  <c r="AG60" i="69" s="1"/>
  <c r="AH60" i="69" s="1"/>
  <c r="AI60" i="69" s="1"/>
  <c r="AJ60" i="69" s="1"/>
  <c r="AK60" i="69" s="1"/>
  <c r="Z60" i="69"/>
  <c r="AB59" i="69"/>
  <c r="AC59" i="69" s="1"/>
  <c r="AD59" i="69" s="1"/>
  <c r="AE59" i="69" s="1"/>
  <c r="AF59" i="69" s="1"/>
  <c r="AG59" i="69" s="1"/>
  <c r="AH59" i="69" s="1"/>
  <c r="AI59" i="69" s="1"/>
  <c r="AJ59" i="69" s="1"/>
  <c r="AK59" i="69" s="1"/>
  <c r="Z59" i="69"/>
  <c r="AB58" i="69"/>
  <c r="AC58" i="69" s="1"/>
  <c r="AD58" i="69" s="1"/>
  <c r="AE58" i="69" s="1"/>
  <c r="AF58" i="69" s="1"/>
  <c r="AG58" i="69" s="1"/>
  <c r="AH58" i="69" s="1"/>
  <c r="AI58" i="69" s="1"/>
  <c r="AJ58" i="69" s="1"/>
  <c r="AK58" i="69" s="1"/>
  <c r="Z58" i="69"/>
  <c r="AB57" i="69"/>
  <c r="AC57" i="69" s="1"/>
  <c r="AD57" i="69" s="1"/>
  <c r="AE57" i="69" s="1"/>
  <c r="AF57" i="69" s="1"/>
  <c r="AG57" i="69" s="1"/>
  <c r="AH57" i="69" s="1"/>
  <c r="AI57" i="69" s="1"/>
  <c r="AJ57" i="69" s="1"/>
  <c r="AK57" i="69" s="1"/>
  <c r="C57" i="69"/>
  <c r="B56" i="102" s="1"/>
  <c r="AB56" i="69"/>
  <c r="AC56" i="69" s="1"/>
  <c r="AD56" i="69" s="1"/>
  <c r="AE56" i="69" s="1"/>
  <c r="AF56" i="69" s="1"/>
  <c r="AG56" i="69" s="1"/>
  <c r="AH56" i="69" s="1"/>
  <c r="AI56" i="69" s="1"/>
  <c r="AJ56" i="69" s="1"/>
  <c r="AK56" i="69" s="1"/>
  <c r="C56" i="69"/>
  <c r="B55" i="102" s="1"/>
  <c r="C55" i="69"/>
  <c r="B54" i="238" s="1"/>
  <c r="AF54" i="69"/>
  <c r="AG54" i="69" s="1"/>
  <c r="AH54" i="69" s="1"/>
  <c r="AI54" i="69" s="1"/>
  <c r="AJ54" i="69" s="1"/>
  <c r="AK54" i="69" s="1"/>
  <c r="AB54" i="69"/>
  <c r="AC54" i="69" s="1"/>
  <c r="AD54" i="69" s="1"/>
  <c r="AE54" i="69" s="1"/>
  <c r="Z54" i="69"/>
  <c r="AB53" i="69"/>
  <c r="AC53" i="69" s="1"/>
  <c r="AD53" i="69" s="1"/>
  <c r="AE53" i="69" s="1"/>
  <c r="AF53" i="69" s="1"/>
  <c r="AG53" i="69" s="1"/>
  <c r="AH53" i="69" s="1"/>
  <c r="AI53" i="69" s="1"/>
  <c r="AJ53" i="69" s="1"/>
  <c r="AK53" i="69" s="1"/>
  <c r="Z53" i="69"/>
  <c r="AB52" i="69"/>
  <c r="AC52" i="69" s="1"/>
  <c r="AD52" i="69" s="1"/>
  <c r="AE52" i="69" s="1"/>
  <c r="AF52" i="69" s="1"/>
  <c r="AG52" i="69" s="1"/>
  <c r="AH52" i="69" s="1"/>
  <c r="AI52" i="69" s="1"/>
  <c r="AJ52" i="69" s="1"/>
  <c r="AK52" i="69" s="1"/>
  <c r="Z52" i="69"/>
  <c r="AB51" i="69"/>
  <c r="AC51" i="69" s="1"/>
  <c r="AD51" i="69" s="1"/>
  <c r="AE51" i="69" s="1"/>
  <c r="AF51" i="69" s="1"/>
  <c r="AG51" i="69" s="1"/>
  <c r="AH51" i="69" s="1"/>
  <c r="AI51" i="69" s="1"/>
  <c r="AJ51" i="69" s="1"/>
  <c r="AK51" i="69" s="1"/>
  <c r="Z51" i="69"/>
  <c r="AB50" i="69"/>
  <c r="AC50" i="69" s="1"/>
  <c r="AD50" i="69" s="1"/>
  <c r="AE50" i="69" s="1"/>
  <c r="AF50" i="69" s="1"/>
  <c r="AG50" i="69" s="1"/>
  <c r="AH50" i="69" s="1"/>
  <c r="AI50" i="69" s="1"/>
  <c r="AJ50" i="69" s="1"/>
  <c r="AK50" i="69" s="1"/>
  <c r="Z50" i="69"/>
  <c r="AB49" i="69"/>
  <c r="AC49" i="69" s="1"/>
  <c r="AD49" i="69" s="1"/>
  <c r="AE49" i="69" s="1"/>
  <c r="AF49" i="69" s="1"/>
  <c r="AG49" i="69" s="1"/>
  <c r="AH49" i="69" s="1"/>
  <c r="AI49" i="69" s="1"/>
  <c r="AJ49" i="69" s="1"/>
  <c r="AK49" i="69" s="1"/>
  <c r="Z49" i="69"/>
  <c r="AB48" i="69"/>
  <c r="AC48" i="69" s="1"/>
  <c r="AD48" i="69" s="1"/>
  <c r="AE48" i="69" s="1"/>
  <c r="AF48" i="69" s="1"/>
  <c r="AG48" i="69" s="1"/>
  <c r="AH48" i="69" s="1"/>
  <c r="AI48" i="69" s="1"/>
  <c r="AJ48" i="69" s="1"/>
  <c r="AK48" i="69" s="1"/>
  <c r="Z48" i="69"/>
  <c r="AB47" i="69"/>
  <c r="AC47" i="69" s="1"/>
  <c r="AD47" i="69" s="1"/>
  <c r="AE47" i="69" s="1"/>
  <c r="AF47" i="69" s="1"/>
  <c r="AG47" i="69" s="1"/>
  <c r="AH47" i="69" s="1"/>
  <c r="AI47" i="69" s="1"/>
  <c r="AJ47" i="69" s="1"/>
  <c r="AK47" i="69" s="1"/>
  <c r="Z47" i="69"/>
  <c r="AB46" i="69"/>
  <c r="AC46" i="69" s="1"/>
  <c r="AD46" i="69" s="1"/>
  <c r="AE46" i="69" s="1"/>
  <c r="AF46" i="69" s="1"/>
  <c r="AG46" i="69" s="1"/>
  <c r="AH46" i="69" s="1"/>
  <c r="AI46" i="69" s="1"/>
  <c r="AJ46" i="69" s="1"/>
  <c r="AK46" i="69" s="1"/>
  <c r="C46" i="69"/>
  <c r="AB45" i="69"/>
  <c r="AC45" i="69" s="1"/>
  <c r="AD45" i="69" s="1"/>
  <c r="AE45" i="69" s="1"/>
  <c r="AF45" i="69" s="1"/>
  <c r="AG45" i="69" s="1"/>
  <c r="AH45" i="69" s="1"/>
  <c r="AI45" i="69" s="1"/>
  <c r="AJ45" i="69" s="1"/>
  <c r="AK45" i="69" s="1"/>
  <c r="C45" i="69"/>
  <c r="AB44" i="69"/>
  <c r="AC44" i="69" s="1"/>
  <c r="AD44" i="69" s="1"/>
  <c r="AE44" i="69" s="1"/>
  <c r="AF44" i="69" s="1"/>
  <c r="AG44" i="69" s="1"/>
  <c r="AH44" i="69" s="1"/>
  <c r="AI44" i="69" s="1"/>
  <c r="AJ44" i="69" s="1"/>
  <c r="AK44" i="69" s="1"/>
  <c r="Z44" i="69"/>
  <c r="AB42" i="69"/>
  <c r="AC42" i="69" s="1"/>
  <c r="AD42" i="69" s="1"/>
  <c r="AE42" i="69" s="1"/>
  <c r="AF42" i="69" s="1"/>
  <c r="AG42" i="69" s="1"/>
  <c r="AH42" i="69" s="1"/>
  <c r="AI42" i="69" s="1"/>
  <c r="AJ42" i="69" s="1"/>
  <c r="AK42" i="69" s="1"/>
  <c r="Z42" i="69"/>
  <c r="AB41" i="69"/>
  <c r="AC41" i="69" s="1"/>
  <c r="AD41" i="69" s="1"/>
  <c r="AE41" i="69" s="1"/>
  <c r="AF41" i="69" s="1"/>
  <c r="AG41" i="69" s="1"/>
  <c r="AH41" i="69" s="1"/>
  <c r="AI41" i="69" s="1"/>
  <c r="AJ41" i="69" s="1"/>
  <c r="AK41" i="69" s="1"/>
  <c r="Z41" i="69"/>
  <c r="AB40" i="69"/>
  <c r="AC40" i="69" s="1"/>
  <c r="AD40" i="69" s="1"/>
  <c r="AE40" i="69" s="1"/>
  <c r="AF40" i="69" s="1"/>
  <c r="AG40" i="69" s="1"/>
  <c r="AH40" i="69" s="1"/>
  <c r="AI40" i="69" s="1"/>
  <c r="AJ40" i="69" s="1"/>
  <c r="AK40" i="69" s="1"/>
  <c r="Z40" i="69"/>
  <c r="AB39" i="69"/>
  <c r="AC39" i="69" s="1"/>
  <c r="AD39" i="69" s="1"/>
  <c r="AE39" i="69" s="1"/>
  <c r="AF39" i="69" s="1"/>
  <c r="AG39" i="69" s="1"/>
  <c r="AH39" i="69" s="1"/>
  <c r="AI39" i="69" s="1"/>
  <c r="AJ39" i="69" s="1"/>
  <c r="AK39" i="69" s="1"/>
  <c r="Z39" i="69"/>
  <c r="AC38" i="69"/>
  <c r="AD38" i="69" s="1"/>
  <c r="AE38" i="69" s="1"/>
  <c r="AF38" i="69" s="1"/>
  <c r="AG38" i="69" s="1"/>
  <c r="AH38" i="69" s="1"/>
  <c r="AI38" i="69" s="1"/>
  <c r="AJ38" i="69" s="1"/>
  <c r="AK38" i="69" s="1"/>
  <c r="Z38" i="69"/>
  <c r="AB37" i="69"/>
  <c r="AC37" i="69" s="1"/>
  <c r="AD37" i="69" s="1"/>
  <c r="AE37" i="69" s="1"/>
  <c r="AF37" i="69" s="1"/>
  <c r="AG37" i="69" s="1"/>
  <c r="AH37" i="69" s="1"/>
  <c r="AI37" i="69" s="1"/>
  <c r="AJ37" i="69" s="1"/>
  <c r="AK37" i="69" s="1"/>
  <c r="Z37" i="69"/>
  <c r="AB36" i="69"/>
  <c r="AC36" i="69" s="1"/>
  <c r="AD36" i="69" s="1"/>
  <c r="AE36" i="69" s="1"/>
  <c r="AF36" i="69" s="1"/>
  <c r="AG36" i="69" s="1"/>
  <c r="AH36" i="69" s="1"/>
  <c r="AI36" i="69" s="1"/>
  <c r="AJ36" i="69" s="1"/>
  <c r="AK36" i="69" s="1"/>
  <c r="Z36" i="69"/>
  <c r="C36" i="69"/>
  <c r="AB35" i="69"/>
  <c r="AC35" i="69" s="1"/>
  <c r="AD35" i="69" s="1"/>
  <c r="AE35" i="69" s="1"/>
  <c r="AF35" i="69" s="1"/>
  <c r="AG35" i="69" s="1"/>
  <c r="AH35" i="69" s="1"/>
  <c r="AI35" i="69" s="1"/>
  <c r="AJ35" i="69" s="1"/>
  <c r="AK35" i="69" s="1"/>
  <c r="C35" i="69"/>
  <c r="AB34" i="69"/>
  <c r="AC34" i="69" s="1"/>
  <c r="AD34" i="69" s="1"/>
  <c r="AE34" i="69" s="1"/>
  <c r="AF34" i="69" s="1"/>
  <c r="AG34" i="69" s="1"/>
  <c r="AH34" i="69" s="1"/>
  <c r="AI34" i="69" s="1"/>
  <c r="AJ34" i="69" s="1"/>
  <c r="AK34" i="69" s="1"/>
  <c r="Z34" i="69"/>
  <c r="AB33" i="69"/>
  <c r="AC33" i="69" s="1"/>
  <c r="AD33" i="69" s="1"/>
  <c r="AE33" i="69" s="1"/>
  <c r="AF33" i="69" s="1"/>
  <c r="AG33" i="69" s="1"/>
  <c r="AH33" i="69" s="1"/>
  <c r="AI33" i="69" s="1"/>
  <c r="AJ33" i="69" s="1"/>
  <c r="AK33" i="69" s="1"/>
  <c r="Z33" i="69"/>
  <c r="AB32" i="69"/>
  <c r="AC32" i="69" s="1"/>
  <c r="AD32" i="69" s="1"/>
  <c r="AE32" i="69" s="1"/>
  <c r="AF32" i="69" s="1"/>
  <c r="AG32" i="69" s="1"/>
  <c r="AH32" i="69" s="1"/>
  <c r="AI32" i="69" s="1"/>
  <c r="AJ32" i="69" s="1"/>
  <c r="AK32" i="69" s="1"/>
  <c r="Z32" i="69"/>
  <c r="AB31" i="69"/>
  <c r="AC31" i="69" s="1"/>
  <c r="AD31" i="69" s="1"/>
  <c r="AE31" i="69" s="1"/>
  <c r="AF31" i="69" s="1"/>
  <c r="AG31" i="69" s="1"/>
  <c r="AH31" i="69" s="1"/>
  <c r="AI31" i="69" s="1"/>
  <c r="AJ31" i="69" s="1"/>
  <c r="AK31" i="69" s="1"/>
  <c r="Z31" i="69"/>
  <c r="AB30" i="69"/>
  <c r="AC30" i="69" s="1"/>
  <c r="AD30" i="69" s="1"/>
  <c r="AE30" i="69" s="1"/>
  <c r="AF30" i="69" s="1"/>
  <c r="AG30" i="69" s="1"/>
  <c r="AH30" i="69" s="1"/>
  <c r="AI30" i="69" s="1"/>
  <c r="AJ30" i="69" s="1"/>
  <c r="AK30" i="69" s="1"/>
  <c r="C30" i="69"/>
  <c r="AB29" i="69"/>
  <c r="AC29" i="69" s="1"/>
  <c r="AD29" i="69" s="1"/>
  <c r="AE29" i="69" s="1"/>
  <c r="AF29" i="69" s="1"/>
  <c r="AG29" i="69" s="1"/>
  <c r="AH29" i="69" s="1"/>
  <c r="AI29" i="69" s="1"/>
  <c r="AJ29" i="69" s="1"/>
  <c r="AK29" i="69" s="1"/>
  <c r="C29" i="69"/>
  <c r="AB28" i="69"/>
  <c r="AC28" i="69" s="1"/>
  <c r="AD28" i="69" s="1"/>
  <c r="AE28" i="69" s="1"/>
  <c r="AF28" i="69" s="1"/>
  <c r="AG28" i="69" s="1"/>
  <c r="AH28" i="69" s="1"/>
  <c r="AI28" i="69" s="1"/>
  <c r="AJ28" i="69" s="1"/>
  <c r="AK28" i="69" s="1"/>
  <c r="Z28" i="69"/>
  <c r="AB27" i="69"/>
  <c r="AC27" i="69" s="1"/>
  <c r="AD27" i="69" s="1"/>
  <c r="AE27" i="69" s="1"/>
  <c r="AF27" i="69" s="1"/>
  <c r="AG27" i="69" s="1"/>
  <c r="AH27" i="69" s="1"/>
  <c r="AI27" i="69" s="1"/>
  <c r="AJ27" i="69" s="1"/>
  <c r="AK27" i="69" s="1"/>
  <c r="Z27" i="69"/>
  <c r="AB26" i="69"/>
  <c r="AC26" i="69" s="1"/>
  <c r="AD26" i="69" s="1"/>
  <c r="AE26" i="69" s="1"/>
  <c r="AF26" i="69" s="1"/>
  <c r="AG26" i="69" s="1"/>
  <c r="AH26" i="69" s="1"/>
  <c r="AI26" i="69" s="1"/>
  <c r="AJ26" i="69" s="1"/>
  <c r="AK26" i="69" s="1"/>
  <c r="Z26" i="69"/>
  <c r="AB25" i="69"/>
  <c r="AC25" i="69" s="1"/>
  <c r="AD25" i="69" s="1"/>
  <c r="AE25" i="69" s="1"/>
  <c r="AF25" i="69" s="1"/>
  <c r="AG25" i="69" s="1"/>
  <c r="AH25" i="69" s="1"/>
  <c r="AI25" i="69" s="1"/>
  <c r="AJ25" i="69" s="1"/>
  <c r="AK25" i="69" s="1"/>
  <c r="Z25" i="69"/>
  <c r="AB24" i="69"/>
  <c r="AC24" i="69" s="1"/>
  <c r="AD24" i="69" s="1"/>
  <c r="AE24" i="69" s="1"/>
  <c r="AF24" i="69" s="1"/>
  <c r="AG24" i="69" s="1"/>
  <c r="AH24" i="69" s="1"/>
  <c r="AI24" i="69" s="1"/>
  <c r="AJ24" i="69" s="1"/>
  <c r="AK24" i="69" s="1"/>
  <c r="C24" i="69"/>
  <c r="AB23" i="69"/>
  <c r="AC23" i="69" s="1"/>
  <c r="AD23" i="69" s="1"/>
  <c r="AE23" i="69" s="1"/>
  <c r="AF23" i="69" s="1"/>
  <c r="AG23" i="69" s="1"/>
  <c r="AH23" i="69" s="1"/>
  <c r="AI23" i="69" s="1"/>
  <c r="AJ23" i="69" s="1"/>
  <c r="AK23" i="69" s="1"/>
  <c r="Z23" i="69"/>
  <c r="C23" i="69"/>
  <c r="AB22" i="69"/>
  <c r="AC22" i="69" s="1"/>
  <c r="AD22" i="69" s="1"/>
  <c r="AE22" i="69" s="1"/>
  <c r="AF22" i="69" s="1"/>
  <c r="AG22" i="69" s="1"/>
  <c r="AH22" i="69" s="1"/>
  <c r="AI22" i="69" s="1"/>
  <c r="AJ22" i="69" s="1"/>
  <c r="AK22" i="69" s="1"/>
  <c r="Z22" i="69"/>
  <c r="AB21" i="69"/>
  <c r="AC21" i="69" s="1"/>
  <c r="AD21" i="69" s="1"/>
  <c r="AE21" i="69" s="1"/>
  <c r="AF21" i="69" s="1"/>
  <c r="AG21" i="69" s="1"/>
  <c r="AH21" i="69" s="1"/>
  <c r="AI21" i="69" s="1"/>
  <c r="AJ21" i="69" s="1"/>
  <c r="AK21" i="69" s="1"/>
  <c r="Z21" i="69"/>
  <c r="AB20" i="69"/>
  <c r="AC20" i="69" s="1"/>
  <c r="AD20" i="69" s="1"/>
  <c r="AE20" i="69" s="1"/>
  <c r="AF20" i="69" s="1"/>
  <c r="AG20" i="69" s="1"/>
  <c r="AH20" i="69" s="1"/>
  <c r="AI20" i="69" s="1"/>
  <c r="AJ20" i="69" s="1"/>
  <c r="AK20" i="69" s="1"/>
  <c r="Z20" i="69"/>
  <c r="AB19" i="69"/>
  <c r="AC19" i="69" s="1"/>
  <c r="AD19" i="69" s="1"/>
  <c r="AE19" i="69" s="1"/>
  <c r="AF19" i="69" s="1"/>
  <c r="AG19" i="69" s="1"/>
  <c r="AH19" i="69" s="1"/>
  <c r="AI19" i="69" s="1"/>
  <c r="AJ19" i="69" s="1"/>
  <c r="AK19" i="69" s="1"/>
  <c r="Z19" i="69"/>
  <c r="Z18" i="69"/>
  <c r="Z15" i="69"/>
  <c r="Z14" i="69"/>
  <c r="Z13" i="69"/>
  <c r="Z12" i="69"/>
  <c r="Z11" i="69"/>
  <c r="H11" i="69"/>
  <c r="AB11" i="69" s="1"/>
  <c r="AB10" i="69"/>
  <c r="AC10" i="69" s="1"/>
  <c r="AD10" i="69" s="1"/>
  <c r="AE10" i="69" s="1"/>
  <c r="AF10" i="69" s="1"/>
  <c r="AG10" i="69" s="1"/>
  <c r="AH10" i="69" s="1"/>
  <c r="AI10" i="69" s="1"/>
  <c r="AJ10" i="69" s="1"/>
  <c r="AK10" i="69" s="1"/>
  <c r="Z10" i="69"/>
  <c r="C7" i="69"/>
  <c r="J68" i="227"/>
  <c r="I68" i="227"/>
  <c r="H68" i="227"/>
  <c r="G68" i="227"/>
  <c r="F68" i="227"/>
  <c r="N67" i="227"/>
  <c r="O67" i="227" s="1"/>
  <c r="P67" i="227" s="1"/>
  <c r="Q67" i="227" s="1"/>
  <c r="R67" i="227" s="1"/>
  <c r="N66" i="227"/>
  <c r="O66" i="227" s="1"/>
  <c r="P66" i="227" s="1"/>
  <c r="Q66" i="227" s="1"/>
  <c r="R66" i="227" s="1"/>
  <c r="N65" i="227"/>
  <c r="O65" i="227" s="1"/>
  <c r="P65" i="227" s="1"/>
  <c r="Q65" i="227" s="1"/>
  <c r="R65" i="227" s="1"/>
  <c r="O64" i="227"/>
  <c r="P64" i="227" s="1"/>
  <c r="Q64" i="227" s="1"/>
  <c r="R64" i="227" s="1"/>
  <c r="N64" i="227"/>
  <c r="N63" i="227"/>
  <c r="O63" i="227" s="1"/>
  <c r="P63" i="227" s="1"/>
  <c r="Q63" i="227" s="1"/>
  <c r="R63" i="227" s="1"/>
  <c r="N62" i="227"/>
  <c r="O62" i="227" s="1"/>
  <c r="P62" i="227" s="1"/>
  <c r="Q62" i="227" s="1"/>
  <c r="R62" i="227" s="1"/>
  <c r="N61" i="227"/>
  <c r="O61" i="227" s="1"/>
  <c r="P61" i="227" s="1"/>
  <c r="Q61" i="227" s="1"/>
  <c r="R61" i="227" s="1"/>
  <c r="O60" i="227"/>
  <c r="P60" i="227" s="1"/>
  <c r="Q60" i="227" s="1"/>
  <c r="R60" i="227" s="1"/>
  <c r="N60" i="227"/>
  <c r="N59" i="227"/>
  <c r="O59" i="227" s="1"/>
  <c r="P59" i="227" s="1"/>
  <c r="Q59" i="227" s="1"/>
  <c r="R59" i="227" s="1"/>
  <c r="N58" i="227"/>
  <c r="O58" i="227" s="1"/>
  <c r="P58" i="227" s="1"/>
  <c r="Q58" i="227" s="1"/>
  <c r="R58" i="227" s="1"/>
  <c r="N57" i="227"/>
  <c r="O57" i="227" s="1"/>
  <c r="P57" i="227" s="1"/>
  <c r="Q57" i="227" s="1"/>
  <c r="R57" i="227" s="1"/>
  <c r="O56" i="227"/>
  <c r="P56" i="227" s="1"/>
  <c r="Q56" i="227" s="1"/>
  <c r="R56" i="227" s="1"/>
  <c r="N56" i="227"/>
  <c r="N55" i="227"/>
  <c r="O55" i="227" s="1"/>
  <c r="P55" i="227" s="1"/>
  <c r="Q55" i="227" s="1"/>
  <c r="R55" i="227" s="1"/>
  <c r="N54" i="227"/>
  <c r="O54" i="227" s="1"/>
  <c r="P54" i="227" s="1"/>
  <c r="Q54" i="227" s="1"/>
  <c r="R54" i="227" s="1"/>
  <c r="N53" i="227"/>
  <c r="O53" i="227" s="1"/>
  <c r="P53" i="227" s="1"/>
  <c r="Q53" i="227" s="1"/>
  <c r="R53" i="227" s="1"/>
  <c r="O52" i="227"/>
  <c r="P52" i="227" s="1"/>
  <c r="Q52" i="227" s="1"/>
  <c r="R52" i="227" s="1"/>
  <c r="N52" i="227"/>
  <c r="N51" i="227"/>
  <c r="O51" i="227" s="1"/>
  <c r="P51" i="227" s="1"/>
  <c r="Q51" i="227" s="1"/>
  <c r="R51" i="227" s="1"/>
  <c r="N50" i="227"/>
  <c r="O50" i="227" s="1"/>
  <c r="P50" i="227" s="1"/>
  <c r="Q50" i="227" s="1"/>
  <c r="R50" i="227" s="1"/>
  <c r="N49" i="227"/>
  <c r="O49" i="227" s="1"/>
  <c r="P49" i="227" s="1"/>
  <c r="Q49" i="227" s="1"/>
  <c r="R49" i="227" s="1"/>
  <c r="O48" i="227"/>
  <c r="P48" i="227" s="1"/>
  <c r="Q48" i="227" s="1"/>
  <c r="R48" i="227" s="1"/>
  <c r="N48" i="227"/>
  <c r="N47" i="227"/>
  <c r="O47" i="227" s="1"/>
  <c r="P47" i="227" s="1"/>
  <c r="Q47" i="227" s="1"/>
  <c r="R47" i="227" s="1"/>
  <c r="N46" i="227"/>
  <c r="O46" i="227" s="1"/>
  <c r="P46" i="227" s="1"/>
  <c r="Q46" i="227" s="1"/>
  <c r="R46" i="227" s="1"/>
  <c r="N45" i="227"/>
  <c r="O45" i="227" s="1"/>
  <c r="P45" i="227" s="1"/>
  <c r="Q45" i="227" s="1"/>
  <c r="R45" i="227" s="1"/>
  <c r="O44" i="227"/>
  <c r="P44" i="227" s="1"/>
  <c r="Q44" i="227" s="1"/>
  <c r="R44" i="227" s="1"/>
  <c r="N44" i="227"/>
  <c r="N43" i="227"/>
  <c r="O43" i="227" s="1"/>
  <c r="P43" i="227" s="1"/>
  <c r="Q43" i="227" s="1"/>
  <c r="R43" i="227" s="1"/>
  <c r="N42" i="227"/>
  <c r="O42" i="227" s="1"/>
  <c r="P42" i="227" s="1"/>
  <c r="Q42" i="227" s="1"/>
  <c r="R42" i="227" s="1"/>
  <c r="N41" i="227"/>
  <c r="O41" i="227" s="1"/>
  <c r="P41" i="227" s="1"/>
  <c r="Q41" i="227" s="1"/>
  <c r="R41" i="227" s="1"/>
  <c r="O40" i="227"/>
  <c r="P40" i="227" s="1"/>
  <c r="Q40" i="227" s="1"/>
  <c r="R40" i="227" s="1"/>
  <c r="N40" i="227"/>
  <c r="N39" i="227"/>
  <c r="O39" i="227" s="1"/>
  <c r="P39" i="227" s="1"/>
  <c r="Q39" i="227" s="1"/>
  <c r="R39" i="227" s="1"/>
  <c r="N38" i="227"/>
  <c r="O38" i="227" s="1"/>
  <c r="P38" i="227" s="1"/>
  <c r="Q38" i="227" s="1"/>
  <c r="R38" i="227" s="1"/>
  <c r="N37" i="227"/>
  <c r="O37" i="227" s="1"/>
  <c r="P37" i="227" s="1"/>
  <c r="Q37" i="227" s="1"/>
  <c r="R37" i="227" s="1"/>
  <c r="O36" i="227"/>
  <c r="P36" i="227" s="1"/>
  <c r="Q36" i="227" s="1"/>
  <c r="R36" i="227" s="1"/>
  <c r="N36" i="227"/>
  <c r="N35" i="227"/>
  <c r="O35" i="227" s="1"/>
  <c r="P35" i="227" s="1"/>
  <c r="Q35" i="227" s="1"/>
  <c r="R35" i="227" s="1"/>
  <c r="N34" i="227"/>
  <c r="O34" i="227" s="1"/>
  <c r="P34" i="227" s="1"/>
  <c r="Q34" i="227" s="1"/>
  <c r="R34" i="227" s="1"/>
  <c r="N33" i="227"/>
  <c r="O33" i="227" s="1"/>
  <c r="P33" i="227" s="1"/>
  <c r="Q33" i="227" s="1"/>
  <c r="R33" i="227" s="1"/>
  <c r="O32" i="227"/>
  <c r="P32" i="227" s="1"/>
  <c r="Q32" i="227" s="1"/>
  <c r="R32" i="227" s="1"/>
  <c r="N32" i="227"/>
  <c r="N31" i="227"/>
  <c r="O31" i="227" s="1"/>
  <c r="P31" i="227" s="1"/>
  <c r="Q31" i="227" s="1"/>
  <c r="R31" i="227" s="1"/>
  <c r="N30" i="227"/>
  <c r="O30" i="227" s="1"/>
  <c r="P30" i="227" s="1"/>
  <c r="Q30" i="227" s="1"/>
  <c r="R30" i="227" s="1"/>
  <c r="N29" i="227"/>
  <c r="O29" i="227" s="1"/>
  <c r="P29" i="227" s="1"/>
  <c r="Q29" i="227" s="1"/>
  <c r="R29" i="227" s="1"/>
  <c r="O28" i="227"/>
  <c r="P28" i="227" s="1"/>
  <c r="Q28" i="227" s="1"/>
  <c r="R28" i="227" s="1"/>
  <c r="N28" i="227"/>
  <c r="N27" i="227"/>
  <c r="O27" i="227" s="1"/>
  <c r="P27" i="227" s="1"/>
  <c r="Q27" i="227" s="1"/>
  <c r="R27" i="227" s="1"/>
  <c r="N26" i="227"/>
  <c r="O26" i="227" s="1"/>
  <c r="P26" i="227" s="1"/>
  <c r="Q26" i="227" s="1"/>
  <c r="R26" i="227" s="1"/>
  <c r="N25" i="227"/>
  <c r="O25" i="227" s="1"/>
  <c r="P25" i="227" s="1"/>
  <c r="Q25" i="227" s="1"/>
  <c r="R25" i="227" s="1"/>
  <c r="O24" i="227"/>
  <c r="P24" i="227" s="1"/>
  <c r="Q24" i="227" s="1"/>
  <c r="R24" i="227" s="1"/>
  <c r="N24" i="227"/>
  <c r="N23" i="227"/>
  <c r="O23" i="227" s="1"/>
  <c r="P23" i="227" s="1"/>
  <c r="Q23" i="227" s="1"/>
  <c r="R23" i="227" s="1"/>
  <c r="N22" i="227"/>
  <c r="O22" i="227" s="1"/>
  <c r="P22" i="227" s="1"/>
  <c r="Q22" i="227" s="1"/>
  <c r="R22" i="227" s="1"/>
  <c r="N21" i="227"/>
  <c r="O21" i="227" s="1"/>
  <c r="P21" i="227" s="1"/>
  <c r="Q21" i="227" s="1"/>
  <c r="R21" i="227" s="1"/>
  <c r="O20" i="227"/>
  <c r="P20" i="227" s="1"/>
  <c r="Q20" i="227" s="1"/>
  <c r="R20" i="227" s="1"/>
  <c r="N20" i="227"/>
  <c r="N19" i="227"/>
  <c r="O19" i="227" s="1"/>
  <c r="P19" i="227" s="1"/>
  <c r="Q19" i="227" s="1"/>
  <c r="R19" i="227" s="1"/>
  <c r="N18" i="227"/>
  <c r="O18" i="227" s="1"/>
  <c r="P18" i="227" s="1"/>
  <c r="Q18" i="227" s="1"/>
  <c r="R18" i="227" s="1"/>
  <c r="N17" i="227"/>
  <c r="O17" i="227" s="1"/>
  <c r="P17" i="227" s="1"/>
  <c r="Q17" i="227" s="1"/>
  <c r="R17" i="227" s="1"/>
  <c r="O16" i="227"/>
  <c r="P16" i="227" s="1"/>
  <c r="Q16" i="227" s="1"/>
  <c r="R16" i="227" s="1"/>
  <c r="N16" i="227"/>
  <c r="N15" i="227"/>
  <c r="O15" i="227" s="1"/>
  <c r="P15" i="227" s="1"/>
  <c r="Q15" i="227" s="1"/>
  <c r="R15" i="227" s="1"/>
  <c r="N14" i="227"/>
  <c r="O14" i="227" s="1"/>
  <c r="P14" i="227" s="1"/>
  <c r="Q14" i="227" s="1"/>
  <c r="R14" i="227" s="1"/>
  <c r="N13" i="227"/>
  <c r="O13" i="227" s="1"/>
  <c r="P13" i="227" s="1"/>
  <c r="Q13" i="227" s="1"/>
  <c r="R13" i="227" s="1"/>
  <c r="O12" i="227"/>
  <c r="P12" i="227" s="1"/>
  <c r="Q12" i="227" s="1"/>
  <c r="R12" i="227" s="1"/>
  <c r="N12" i="227"/>
  <c r="N11" i="227"/>
  <c r="O11" i="227" s="1"/>
  <c r="P11" i="227" s="1"/>
  <c r="Q11" i="227" s="1"/>
  <c r="R11" i="227" s="1"/>
  <c r="N10" i="227"/>
  <c r="N68" i="227" s="1"/>
  <c r="F6" i="227"/>
  <c r="N6" i="227" s="1"/>
  <c r="C3" i="227"/>
  <c r="L60" i="237"/>
  <c r="M47" i="237"/>
  <c r="L47" i="237"/>
  <c r="K47" i="237"/>
  <c r="J47" i="237"/>
  <c r="I47" i="237"/>
  <c r="H47" i="237"/>
  <c r="G47" i="237"/>
  <c r="F47" i="237"/>
  <c r="E47" i="237"/>
  <c r="D47" i="237"/>
  <c r="L45" i="237"/>
  <c r="J36" i="237"/>
  <c r="L33" i="237"/>
  <c r="J25" i="237"/>
  <c r="J60" i="237" s="1"/>
  <c r="M24" i="237"/>
  <c r="L24" i="237"/>
  <c r="K24" i="237"/>
  <c r="J24" i="237"/>
  <c r="I24" i="237"/>
  <c r="H24" i="237"/>
  <c r="G24" i="237"/>
  <c r="F24" i="237"/>
  <c r="E24" i="237"/>
  <c r="D24" i="237"/>
  <c r="M23" i="237"/>
  <c r="M25" i="237" s="1"/>
  <c r="L23" i="237"/>
  <c r="K23" i="237"/>
  <c r="J23" i="237"/>
  <c r="I23" i="237"/>
  <c r="H23" i="237"/>
  <c r="G23" i="237"/>
  <c r="F23" i="237"/>
  <c r="E23" i="237"/>
  <c r="D23" i="237"/>
  <c r="M22" i="237"/>
  <c r="L22" i="237"/>
  <c r="L25" i="237" s="1"/>
  <c r="L30" i="237" s="1"/>
  <c r="K22" i="237"/>
  <c r="K25" i="237" s="1"/>
  <c r="J22" i="237"/>
  <c r="I22" i="237"/>
  <c r="H22" i="237"/>
  <c r="G22" i="237"/>
  <c r="F22" i="237"/>
  <c r="E22" i="237"/>
  <c r="D22" i="237"/>
  <c r="D25" i="237" s="1"/>
  <c r="AD11" i="237"/>
  <c r="AD12" i="237" s="1"/>
  <c r="AC11" i="237"/>
  <c r="AC12" i="237" s="1"/>
  <c r="AI10" i="237"/>
  <c r="AJ10" i="237" s="1"/>
  <c r="AK10" i="237" s="1"/>
  <c r="AL10" i="237" s="1"/>
  <c r="AM10" i="237" s="1"/>
  <c r="AN10" i="237" s="1"/>
  <c r="AO10" i="237" s="1"/>
  <c r="AE10" i="237"/>
  <c r="AF10" i="237" s="1"/>
  <c r="AG10" i="237" s="1"/>
  <c r="AH10" i="237" s="1"/>
  <c r="D7" i="237"/>
  <c r="C3" i="237"/>
  <c r="F25" i="237" l="1"/>
  <c r="D51" i="237"/>
  <c r="D32" i="102"/>
  <c r="D41" i="102"/>
  <c r="F60" i="237"/>
  <c r="F41" i="102"/>
  <c r="G25" i="237"/>
  <c r="G41" i="102" s="1"/>
  <c r="H25" i="237"/>
  <c r="H36" i="237" s="1"/>
  <c r="H33" i="102" s="1"/>
  <c r="E25" i="237"/>
  <c r="D42" i="237"/>
  <c r="D57" i="237"/>
  <c r="G197" i="239"/>
  <c r="G10" i="239" s="1"/>
  <c r="F197" i="239"/>
  <c r="F10" i="239" s="1"/>
  <c r="R197" i="239"/>
  <c r="R10" i="239" s="1"/>
  <c r="V197" i="239"/>
  <c r="V10" i="239" s="1"/>
  <c r="J68" i="239"/>
  <c r="AA54" i="239"/>
  <c r="AA56" i="239" s="1"/>
  <c r="AA68" i="239"/>
  <c r="AA70" i="239" s="1"/>
  <c r="J155" i="239"/>
  <c r="K155" i="239" s="1"/>
  <c r="D90" i="239"/>
  <c r="AA45" i="239"/>
  <c r="D107" i="102"/>
  <c r="AB107" i="239" s="1"/>
  <c r="E99" i="102"/>
  <c r="D95" i="102"/>
  <c r="AB95" i="239" s="1"/>
  <c r="D119" i="102"/>
  <c r="F94" i="102"/>
  <c r="E95" i="102"/>
  <c r="E106" i="102"/>
  <c r="D111" i="102"/>
  <c r="AB111" i="239" s="1"/>
  <c r="F119" i="102"/>
  <c r="G94" i="102"/>
  <c r="D99" i="102"/>
  <c r="AB99" i="239" s="1"/>
  <c r="G119" i="102"/>
  <c r="AE11" i="237"/>
  <c r="D39" i="237"/>
  <c r="D54" i="237"/>
  <c r="O10" i="227"/>
  <c r="B88" i="238"/>
  <c r="B88" i="102"/>
  <c r="B88" i="239"/>
  <c r="J45" i="237"/>
  <c r="J57" i="237"/>
  <c r="B22" i="239"/>
  <c r="B22" i="238"/>
  <c r="B35" i="239"/>
  <c r="B35" i="238"/>
  <c r="B35" i="102"/>
  <c r="Z56" i="69"/>
  <c r="Z57" i="69"/>
  <c r="B101" i="238"/>
  <c r="B101" i="239"/>
  <c r="B45" i="239"/>
  <c r="B45" i="238"/>
  <c r="H97" i="102"/>
  <c r="H116" i="102"/>
  <c r="H118" i="102"/>
  <c r="K138" i="239"/>
  <c r="Z181" i="69"/>
  <c r="F95" i="102"/>
  <c r="D97" i="102"/>
  <c r="AB97" i="239" s="1"/>
  <c r="F99" i="102"/>
  <c r="F106" i="102"/>
  <c r="E107" i="102"/>
  <c r="G111" i="102"/>
  <c r="D115" i="102"/>
  <c r="AB115" i="239" s="1"/>
  <c r="D116" i="102"/>
  <c r="AB116" i="239" s="1"/>
  <c r="D118" i="102"/>
  <c r="AB118" i="239" s="1"/>
  <c r="N90" i="239"/>
  <c r="N198" i="239" s="1"/>
  <c r="N202" i="239" s="1"/>
  <c r="R90" i="239"/>
  <c r="V90" i="239"/>
  <c r="Z90" i="239"/>
  <c r="Z9" i="239" s="1"/>
  <c r="J54" i="239"/>
  <c r="J56" i="239" s="1"/>
  <c r="K56" i="239" s="1"/>
  <c r="J70" i="239"/>
  <c r="AA75" i="239"/>
  <c r="AA82" i="239"/>
  <c r="K125" i="239"/>
  <c r="N140" i="239"/>
  <c r="N197" i="239" s="1"/>
  <c r="N10" i="239" s="1"/>
  <c r="H95" i="102"/>
  <c r="E97" i="102"/>
  <c r="H99" i="102"/>
  <c r="G107" i="102"/>
  <c r="F115" i="102"/>
  <c r="E116" i="102"/>
  <c r="D117" i="102"/>
  <c r="AB117" i="239" s="1"/>
  <c r="E118" i="102"/>
  <c r="G198" i="239"/>
  <c r="G202" i="239" s="1"/>
  <c r="J45" i="239"/>
  <c r="K45" i="239" s="1"/>
  <c r="K60" i="239"/>
  <c r="AA88" i="239"/>
  <c r="F97" i="102"/>
  <c r="G115" i="102"/>
  <c r="F116" i="102"/>
  <c r="F118" i="102"/>
  <c r="W90" i="239"/>
  <c r="E122" i="239"/>
  <c r="E140" i="239" s="1"/>
  <c r="E197" i="239" s="1"/>
  <c r="E10" i="239" s="1"/>
  <c r="I122" i="239"/>
  <c r="I140" i="239" s="1"/>
  <c r="U122" i="239"/>
  <c r="U140" i="239" s="1"/>
  <c r="U197" i="239" s="1"/>
  <c r="U10" i="239" s="1"/>
  <c r="K143" i="239"/>
  <c r="AA180" i="239"/>
  <c r="W9" i="239"/>
  <c r="K60" i="237"/>
  <c r="K54" i="237"/>
  <c r="K45" i="237"/>
  <c r="K39" i="237"/>
  <c r="K33" i="237"/>
  <c r="K51" i="237"/>
  <c r="K36" i="237"/>
  <c r="L26" i="237"/>
  <c r="K26" i="237"/>
  <c r="K42" i="237"/>
  <c r="K48" i="237" s="1"/>
  <c r="P10" i="227"/>
  <c r="O68" i="227"/>
  <c r="M57" i="237"/>
  <c r="M51" i="237"/>
  <c r="M42" i="237"/>
  <c r="M36" i="237"/>
  <c r="M54" i="237"/>
  <c r="M39" i="237"/>
  <c r="M60" i="237"/>
  <c r="M45" i="237"/>
  <c r="M26" i="237"/>
  <c r="M33" i="237"/>
  <c r="M30" i="237"/>
  <c r="F33" i="237"/>
  <c r="F54" i="237"/>
  <c r="F51" i="237"/>
  <c r="F39" i="237"/>
  <c r="F36" i="237"/>
  <c r="F33" i="102" s="1"/>
  <c r="F45" i="237"/>
  <c r="F42" i="237"/>
  <c r="B29" i="239"/>
  <c r="B29" i="238"/>
  <c r="B29" i="102"/>
  <c r="Z30" i="69"/>
  <c r="G21" i="102"/>
  <c r="K30" i="237"/>
  <c r="J39" i="237"/>
  <c r="F57" i="237"/>
  <c r="J29" i="239"/>
  <c r="K29" i="239" s="1"/>
  <c r="K26" i="239"/>
  <c r="H20" i="102"/>
  <c r="AE12" i="237"/>
  <c r="E7" i="237" s="1"/>
  <c r="I11" i="69" s="1"/>
  <c r="AC11" i="69" s="1"/>
  <c r="J33" i="237"/>
  <c r="J30" i="237"/>
  <c r="F30" i="237"/>
  <c r="J42" i="237"/>
  <c r="J48" i="237" s="1"/>
  <c r="J51" i="237"/>
  <c r="J54" i="237"/>
  <c r="K57" i="237"/>
  <c r="B23" i="238"/>
  <c r="Z24" i="69"/>
  <c r="H26" i="102" s="1"/>
  <c r="B23" i="239"/>
  <c r="B34" i="238"/>
  <c r="B34" i="239"/>
  <c r="B34" i="102"/>
  <c r="Z35" i="69"/>
  <c r="B193" i="239"/>
  <c r="B193" i="102"/>
  <c r="B193" i="238"/>
  <c r="Z194" i="69"/>
  <c r="B23" i="102"/>
  <c r="E98" i="102"/>
  <c r="D98" i="102"/>
  <c r="AB98" i="239" s="1"/>
  <c r="G98" i="102"/>
  <c r="H98" i="102"/>
  <c r="F98" i="102"/>
  <c r="R198" i="239"/>
  <c r="R202" i="239" s="1"/>
  <c r="V9" i="239"/>
  <c r="I25" i="237"/>
  <c r="B69" i="239"/>
  <c r="B69" i="102"/>
  <c r="B69" i="238"/>
  <c r="B81" i="239"/>
  <c r="B81" i="102"/>
  <c r="B81" i="238"/>
  <c r="Z82" i="69"/>
  <c r="E96" i="102"/>
  <c r="G96" i="102"/>
  <c r="H96" i="102"/>
  <c r="F96" i="102"/>
  <c r="D96" i="102"/>
  <c r="AB96" i="239" s="1"/>
  <c r="E100" i="102"/>
  <c r="G100" i="102"/>
  <c r="D100" i="102"/>
  <c r="AB100" i="239" s="1"/>
  <c r="H100" i="102"/>
  <c r="F100" i="102"/>
  <c r="F105" i="102"/>
  <c r="D105" i="102"/>
  <c r="AB105" i="239" s="1"/>
  <c r="G105" i="102"/>
  <c r="H105" i="102"/>
  <c r="E105" i="102"/>
  <c r="H110" i="102"/>
  <c r="D110" i="102"/>
  <c r="AB110" i="239" s="1"/>
  <c r="F110" i="102"/>
  <c r="G110" i="102"/>
  <c r="E110" i="102"/>
  <c r="B90" i="102"/>
  <c r="B90" i="239"/>
  <c r="B90" i="238"/>
  <c r="F109" i="102"/>
  <c r="G109" i="102"/>
  <c r="H109" i="102"/>
  <c r="O90" i="239"/>
  <c r="S90" i="239"/>
  <c r="P90" i="239"/>
  <c r="J101" i="239"/>
  <c r="K94" i="239"/>
  <c r="O140" i="239"/>
  <c r="O197" i="239" s="1"/>
  <c r="O10" i="239" s="1"/>
  <c r="S140" i="239"/>
  <c r="S197" i="239" s="1"/>
  <c r="S10" i="239" s="1"/>
  <c r="W140" i="239"/>
  <c r="W197" i="239" s="1"/>
  <c r="W10" i="239" s="1"/>
  <c r="J180" i="239"/>
  <c r="K180" i="239" s="1"/>
  <c r="K158" i="239"/>
  <c r="D36" i="237"/>
  <c r="D33" i="102" s="1"/>
  <c r="D30" i="237"/>
  <c r="D33" i="237"/>
  <c r="L39" i="237"/>
  <c r="L42" i="237"/>
  <c r="L48" i="237" s="1"/>
  <c r="L54" i="237"/>
  <c r="L57" i="237"/>
  <c r="D20" i="102"/>
  <c r="AB20" i="239" s="1"/>
  <c r="B28" i="239"/>
  <c r="B28" i="102"/>
  <c r="B44" i="238"/>
  <c r="B44" i="102"/>
  <c r="Z45" i="69"/>
  <c r="B54" i="239"/>
  <c r="B54" i="102"/>
  <c r="B70" i="239"/>
  <c r="B70" i="102"/>
  <c r="B70" i="238"/>
  <c r="B74" i="239"/>
  <c r="B74" i="102"/>
  <c r="Z75" i="69"/>
  <c r="B74" i="238"/>
  <c r="B82" i="239"/>
  <c r="B82" i="238"/>
  <c r="B82" i="102"/>
  <c r="Z89" i="69"/>
  <c r="Z91" i="69"/>
  <c r="E20" i="102"/>
  <c r="D21" i="102"/>
  <c r="AB21" i="239" s="1"/>
  <c r="H104" i="102"/>
  <c r="D104" i="102"/>
  <c r="AB104" i="239" s="1"/>
  <c r="E104" i="102"/>
  <c r="F104" i="102"/>
  <c r="D109" i="102"/>
  <c r="AB109" i="239" s="1"/>
  <c r="B28" i="238"/>
  <c r="K48" i="239"/>
  <c r="D9" i="239"/>
  <c r="T197" i="239"/>
  <c r="T10" i="239" s="1"/>
  <c r="D26" i="237"/>
  <c r="L36" i="237"/>
  <c r="D45" i="237"/>
  <c r="L51" i="237"/>
  <c r="D60" i="237"/>
  <c r="B22" i="102"/>
  <c r="D26" i="102"/>
  <c r="Z29" i="69"/>
  <c r="B45" i="102"/>
  <c r="Z46" i="69"/>
  <c r="B68" i="239"/>
  <c r="B68" i="238"/>
  <c r="Z71" i="69"/>
  <c r="B75" i="239"/>
  <c r="B75" i="238"/>
  <c r="Z76" i="69"/>
  <c r="Z83" i="69"/>
  <c r="B87" i="239"/>
  <c r="B87" i="238"/>
  <c r="B87" i="102"/>
  <c r="B101" i="102"/>
  <c r="Z102" i="69"/>
  <c r="B120" i="239"/>
  <c r="B120" i="102"/>
  <c r="B120" i="238"/>
  <c r="Z121" i="69"/>
  <c r="B138" i="239"/>
  <c r="B138" i="238"/>
  <c r="Z139" i="69"/>
  <c r="F20" i="102"/>
  <c r="F21" i="102"/>
  <c r="E26" i="102"/>
  <c r="D27" i="102"/>
  <c r="AB27" i="239" s="1"/>
  <c r="G104" i="102"/>
  <c r="H108" i="102"/>
  <c r="D108" i="102"/>
  <c r="AB108" i="239" s="1"/>
  <c r="G108" i="102"/>
  <c r="F108" i="102"/>
  <c r="E109" i="102"/>
  <c r="E117" i="102"/>
  <c r="F117" i="102"/>
  <c r="H117" i="102"/>
  <c r="B44" i="239"/>
  <c r="K57" i="239"/>
  <c r="G20" i="102"/>
  <c r="D122" i="238"/>
  <c r="D140" i="238" s="1"/>
  <c r="D197" i="238" s="1"/>
  <c r="D10" i="238" s="1"/>
  <c r="X90" i="239"/>
  <c r="AA29" i="239"/>
  <c r="D122" i="239"/>
  <c r="D140" i="239" s="1"/>
  <c r="D197" i="239" s="1"/>
  <c r="D10" i="239" s="1"/>
  <c r="H122" i="239"/>
  <c r="H140" i="239" s="1"/>
  <c r="H197" i="239" s="1"/>
  <c r="H10" i="239" s="1"/>
  <c r="K105" i="239"/>
  <c r="J112" i="239"/>
  <c r="K112" i="239" s="1"/>
  <c r="X197" i="239"/>
  <c r="X10" i="239" s="1"/>
  <c r="J120" i="239"/>
  <c r="K120" i="239" s="1"/>
  <c r="K115" i="239"/>
  <c r="B55" i="239"/>
  <c r="B55" i="238"/>
  <c r="B56" i="239"/>
  <c r="B56" i="238"/>
  <c r="B112" i="239"/>
  <c r="B112" i="238"/>
  <c r="B155" i="239"/>
  <c r="B155" i="102"/>
  <c r="B180" i="239"/>
  <c r="B180" i="238"/>
  <c r="E21" i="102"/>
  <c r="H21" i="102"/>
  <c r="H27" i="102"/>
  <c r="D61" i="102"/>
  <c r="AB61" i="239" s="1"/>
  <c r="E94" i="102"/>
  <c r="D94" i="102"/>
  <c r="F111" i="102"/>
  <c r="E111" i="102"/>
  <c r="B112" i="102"/>
  <c r="J23" i="239"/>
  <c r="K23" i="239" s="1"/>
  <c r="E90" i="239"/>
  <c r="I90" i="239"/>
  <c r="K38" i="239"/>
  <c r="I197" i="239"/>
  <c r="I10" i="239" s="1"/>
  <c r="AB119" i="239"/>
  <c r="K193" i="239"/>
  <c r="H106" i="102"/>
  <c r="D106" i="102"/>
  <c r="AB106" i="239" s="1"/>
  <c r="H107" i="102"/>
  <c r="H115" i="102"/>
  <c r="H119" i="102"/>
  <c r="H90" i="239"/>
  <c r="T90" i="239"/>
  <c r="AA35" i="239"/>
  <c r="K70" i="239"/>
  <c r="K75" i="239"/>
  <c r="J88" i="239"/>
  <c r="K88" i="239" s="1"/>
  <c r="K85" i="239"/>
  <c r="F90" i="239"/>
  <c r="F9" i="239" s="1"/>
  <c r="F11" i="239" s="1"/>
  <c r="Q90" i="239"/>
  <c r="U90" i="239"/>
  <c r="Y90" i="239"/>
  <c r="J35" i="239"/>
  <c r="K35" i="239" s="1"/>
  <c r="K68" i="239"/>
  <c r="K82" i="239"/>
  <c r="AA120" i="239"/>
  <c r="G9" i="239"/>
  <c r="G11" i="239" s="1"/>
  <c r="K21" i="239"/>
  <c r="K32" i="239"/>
  <c r="R9" i="239"/>
  <c r="R11" i="239" s="1"/>
  <c r="D9" i="238"/>
  <c r="Z198" i="239"/>
  <c r="Z202" i="239" s="1"/>
  <c r="Z10" i="239"/>
  <c r="AA138" i="239"/>
  <c r="AA112" i="239"/>
  <c r="AA101" i="239"/>
  <c r="E51" i="237" l="1"/>
  <c r="E41" i="102"/>
  <c r="D48" i="237"/>
  <c r="D39" i="102" s="1"/>
  <c r="AB39" i="239" s="1"/>
  <c r="H60" i="237"/>
  <c r="H43" i="102" s="1"/>
  <c r="G57" i="237"/>
  <c r="G54" i="237"/>
  <c r="G36" i="237"/>
  <c r="G33" i="102" s="1"/>
  <c r="G26" i="237"/>
  <c r="G45" i="237"/>
  <c r="G30" i="237"/>
  <c r="H30" i="237"/>
  <c r="H41" i="102"/>
  <c r="H57" i="237"/>
  <c r="H42" i="237"/>
  <c r="H61" i="102" s="1"/>
  <c r="H54" i="237"/>
  <c r="H40" i="102" s="1"/>
  <c r="H39" i="237"/>
  <c r="H51" i="102" s="1"/>
  <c r="G33" i="237"/>
  <c r="G51" i="237"/>
  <c r="G60" i="237"/>
  <c r="G43" i="102" s="1"/>
  <c r="H45" i="237"/>
  <c r="H65" i="102" s="1"/>
  <c r="H26" i="237"/>
  <c r="G42" i="237"/>
  <c r="G61" i="102" s="1"/>
  <c r="G39" i="237"/>
  <c r="H33" i="237"/>
  <c r="H51" i="237"/>
  <c r="E36" i="237"/>
  <c r="E33" i="102" s="1"/>
  <c r="E54" i="237"/>
  <c r="E40" i="102" s="1"/>
  <c r="E60" i="237"/>
  <c r="E43" i="102" s="1"/>
  <c r="E57" i="237"/>
  <c r="E26" i="237"/>
  <c r="E33" i="237"/>
  <c r="F26" i="237"/>
  <c r="E39" i="237"/>
  <c r="E51" i="102" s="1"/>
  <c r="E42" i="237"/>
  <c r="E45" i="237"/>
  <c r="E30" i="237"/>
  <c r="D198" i="238"/>
  <c r="V11" i="239"/>
  <c r="V198" i="239"/>
  <c r="V202" i="239" s="1"/>
  <c r="K54" i="239"/>
  <c r="E192" i="102"/>
  <c r="H159" i="102"/>
  <c r="AB42" i="239"/>
  <c r="N9" i="239"/>
  <c r="N11" i="239" s="1"/>
  <c r="Z11" i="239"/>
  <c r="G101" i="102"/>
  <c r="G120" i="102"/>
  <c r="E190" i="102"/>
  <c r="G191" i="102"/>
  <c r="E61" i="102"/>
  <c r="G177" i="102"/>
  <c r="E184" i="102"/>
  <c r="G192" i="102"/>
  <c r="E86" i="102"/>
  <c r="G151" i="102"/>
  <c r="E27" i="102"/>
  <c r="H167" i="102"/>
  <c r="E120" i="102"/>
  <c r="G26" i="102"/>
  <c r="D120" i="102"/>
  <c r="AB120" i="239" s="1"/>
  <c r="F120" i="102"/>
  <c r="F26" i="102"/>
  <c r="H120" i="102"/>
  <c r="E112" i="102"/>
  <c r="AF11" i="237"/>
  <c r="G6" i="227" s="1"/>
  <c r="O6" i="227" s="1"/>
  <c r="F198" i="239"/>
  <c r="F202" i="239" s="1"/>
  <c r="D198" i="239"/>
  <c r="D202" i="239" s="1"/>
  <c r="G27" i="102"/>
  <c r="F48" i="237"/>
  <c r="F49" i="102" s="1"/>
  <c r="W11" i="239"/>
  <c r="Q198" i="239"/>
  <c r="Q202" i="239" s="1"/>
  <c r="Q9" i="239"/>
  <c r="Q11" i="239" s="1"/>
  <c r="G186" i="102"/>
  <c r="G79" i="102"/>
  <c r="D38" i="102"/>
  <c r="P198" i="239"/>
  <c r="P202" i="239" s="1"/>
  <c r="P9" i="239"/>
  <c r="P11" i="239" s="1"/>
  <c r="H146" i="102"/>
  <c r="AB41" i="239"/>
  <c r="E174" i="102"/>
  <c r="F172" i="102"/>
  <c r="G173" i="102"/>
  <c r="H78" i="102"/>
  <c r="G184" i="102"/>
  <c r="F67" i="102"/>
  <c r="G190" i="102"/>
  <c r="F183" i="102"/>
  <c r="AA90" i="239"/>
  <c r="AA9" i="239" s="1"/>
  <c r="E151" i="102"/>
  <c r="F151" i="102"/>
  <c r="H173" i="102"/>
  <c r="D152" i="102"/>
  <c r="AB152" i="239" s="1"/>
  <c r="H154" i="102"/>
  <c r="D186" i="102"/>
  <c r="AB186" i="239" s="1"/>
  <c r="H158" i="102"/>
  <c r="G160" i="102"/>
  <c r="E188" i="102"/>
  <c r="D101" i="102"/>
  <c r="AB94" i="239"/>
  <c r="D163" i="102"/>
  <c r="AB163" i="239" s="1"/>
  <c r="F163" i="102"/>
  <c r="E144" i="102"/>
  <c r="D143" i="102"/>
  <c r="D67" i="102"/>
  <c r="AB67" i="239" s="1"/>
  <c r="G28" i="102"/>
  <c r="H28" i="102"/>
  <c r="H29" i="102" s="1"/>
  <c r="E28" i="102"/>
  <c r="D28" i="102"/>
  <c r="AB28" i="239" s="1"/>
  <c r="F28" i="102"/>
  <c r="F51" i="102"/>
  <c r="H152" i="102"/>
  <c r="H143" i="102"/>
  <c r="I57" i="237"/>
  <c r="I51" i="237"/>
  <c r="I42" i="237"/>
  <c r="I36" i="237"/>
  <c r="I60" i="237"/>
  <c r="I45" i="237"/>
  <c r="I26" i="237"/>
  <c r="I33" i="237"/>
  <c r="I30" i="237"/>
  <c r="I39" i="237"/>
  <c r="I54" i="237"/>
  <c r="J26" i="237"/>
  <c r="D62" i="102"/>
  <c r="AB62" i="239" s="1"/>
  <c r="G170" i="102"/>
  <c r="E158" i="102"/>
  <c r="H168" i="102"/>
  <c r="G67" i="102"/>
  <c r="E38" i="102"/>
  <c r="H190" i="102"/>
  <c r="G161" i="102"/>
  <c r="E78" i="102"/>
  <c r="D195" i="102"/>
  <c r="AB195" i="239" s="1"/>
  <c r="G187" i="102"/>
  <c r="H175" i="102"/>
  <c r="D171" i="102"/>
  <c r="AB171" i="239" s="1"/>
  <c r="AB26" i="239"/>
  <c r="F171" i="102"/>
  <c r="E153" i="102"/>
  <c r="F191" i="102"/>
  <c r="H200" i="102"/>
  <c r="H150" i="102"/>
  <c r="E59" i="102"/>
  <c r="E187" i="102"/>
  <c r="F101" i="102"/>
  <c r="H52" i="102"/>
  <c r="E60" i="102"/>
  <c r="H86" i="102"/>
  <c r="F53" i="102"/>
  <c r="D85" i="102"/>
  <c r="D178" i="102"/>
  <c r="AB178" i="239" s="1"/>
  <c r="F166" i="102"/>
  <c r="AB33" i="239"/>
  <c r="E168" i="102"/>
  <c r="U198" i="239"/>
  <c r="U202" i="239" s="1"/>
  <c r="U9" i="239"/>
  <c r="U11" i="239" s="1"/>
  <c r="G87" i="102"/>
  <c r="E87" i="102"/>
  <c r="H87" i="102"/>
  <c r="F87" i="102"/>
  <c r="D87" i="102"/>
  <c r="AB87" i="239" s="1"/>
  <c r="F186" i="102"/>
  <c r="H73" i="102"/>
  <c r="D55" i="102"/>
  <c r="AB55" i="239" s="1"/>
  <c r="F60" i="102"/>
  <c r="G60" i="102"/>
  <c r="D153" i="102"/>
  <c r="AB153" i="239" s="1"/>
  <c r="F48" i="102"/>
  <c r="E52" i="102"/>
  <c r="D52" i="102"/>
  <c r="AB52" i="239" s="1"/>
  <c r="H59" i="102"/>
  <c r="F80" i="102"/>
  <c r="E143" i="102"/>
  <c r="E146" i="102"/>
  <c r="E148" i="102"/>
  <c r="E150" i="102"/>
  <c r="E152" i="102"/>
  <c r="E154" i="102"/>
  <c r="F200" i="102"/>
  <c r="D43" i="102"/>
  <c r="AB43" i="239" s="1"/>
  <c r="F38" i="102"/>
  <c r="F61" i="102"/>
  <c r="E73" i="102"/>
  <c r="D148" i="102"/>
  <c r="AB148" i="239" s="1"/>
  <c r="G159" i="102"/>
  <c r="G175" i="102"/>
  <c r="F187" i="102"/>
  <c r="H177" i="102"/>
  <c r="H169" i="102"/>
  <c r="H161" i="102"/>
  <c r="E149" i="102"/>
  <c r="F79" i="102"/>
  <c r="F175" i="102"/>
  <c r="F167" i="102"/>
  <c r="F159" i="102"/>
  <c r="F147" i="102"/>
  <c r="G78" i="102"/>
  <c r="H192" i="102"/>
  <c r="H188" i="102"/>
  <c r="H184" i="102"/>
  <c r="D175" i="102"/>
  <c r="AB175" i="239" s="1"/>
  <c r="D167" i="102"/>
  <c r="AB167" i="239" s="1"/>
  <c r="D159" i="102"/>
  <c r="AB159" i="239" s="1"/>
  <c r="E147" i="102"/>
  <c r="G32" i="102"/>
  <c r="H53" i="102"/>
  <c r="F64" i="102"/>
  <c r="F65" i="102"/>
  <c r="D79" i="102"/>
  <c r="AB79" i="239" s="1"/>
  <c r="G86" i="102"/>
  <c r="G149" i="102"/>
  <c r="H163" i="102"/>
  <c r="H171" i="102"/>
  <c r="H179" i="102"/>
  <c r="G188" i="102"/>
  <c r="G185" i="102"/>
  <c r="G189" i="102"/>
  <c r="F195" i="102"/>
  <c r="G147" i="102"/>
  <c r="G169" i="102"/>
  <c r="H186" i="102"/>
  <c r="D50" i="102"/>
  <c r="AB50" i="239" s="1"/>
  <c r="D40" i="102"/>
  <c r="AB40" i="239" s="1"/>
  <c r="D160" i="102"/>
  <c r="AB160" i="239" s="1"/>
  <c r="H164" i="102"/>
  <c r="G172" i="102"/>
  <c r="F162" i="102"/>
  <c r="H170" i="102"/>
  <c r="E79" i="102"/>
  <c r="F189" i="102"/>
  <c r="D60" i="102"/>
  <c r="D48" i="102"/>
  <c r="D149" i="102"/>
  <c r="AB149" i="239" s="1"/>
  <c r="G148" i="102"/>
  <c r="G152" i="102"/>
  <c r="E200" i="102"/>
  <c r="G163" i="102"/>
  <c r="E175" i="102"/>
  <c r="H147" i="102"/>
  <c r="H153" i="102"/>
  <c r="H187" i="102"/>
  <c r="D165" i="102"/>
  <c r="AB165" i="239" s="1"/>
  <c r="H38" i="102"/>
  <c r="G59" i="102"/>
  <c r="F173" i="102"/>
  <c r="D191" i="102"/>
  <c r="AB191" i="239" s="1"/>
  <c r="E64" i="102"/>
  <c r="E32" i="102"/>
  <c r="E164" i="102"/>
  <c r="F168" i="102"/>
  <c r="D176" i="102"/>
  <c r="AB176" i="239" s="1"/>
  <c r="D158" i="102"/>
  <c r="E170" i="102"/>
  <c r="F178" i="102"/>
  <c r="H85" i="102"/>
  <c r="E185" i="102"/>
  <c r="E183" i="102"/>
  <c r="D59" i="102"/>
  <c r="AB59" i="239" s="1"/>
  <c r="G143" i="102"/>
  <c r="D150" i="102"/>
  <c r="AB150" i="239" s="1"/>
  <c r="D154" i="102"/>
  <c r="AB154" i="239" s="1"/>
  <c r="F40" i="102"/>
  <c r="F73" i="102"/>
  <c r="G179" i="102"/>
  <c r="E167" i="102"/>
  <c r="E173" i="102"/>
  <c r="H144" i="102"/>
  <c r="H183" i="102"/>
  <c r="F153" i="102"/>
  <c r="G80" i="102"/>
  <c r="G153" i="102"/>
  <c r="D183" i="102"/>
  <c r="G183" i="102"/>
  <c r="H178" i="102"/>
  <c r="E53" i="102"/>
  <c r="G195" i="102"/>
  <c r="F185" i="102"/>
  <c r="F190" i="102"/>
  <c r="F78" i="102"/>
  <c r="H55" i="102"/>
  <c r="F55" i="102"/>
  <c r="H60" i="102"/>
  <c r="D144" i="102"/>
  <c r="AB144" i="239" s="1"/>
  <c r="E191" i="102"/>
  <c r="E48" i="102"/>
  <c r="G48" i="102"/>
  <c r="D190" i="102"/>
  <c r="AB190" i="239" s="1"/>
  <c r="E80" i="102"/>
  <c r="F143" i="102"/>
  <c r="G146" i="102"/>
  <c r="F148" i="102"/>
  <c r="G150" i="102"/>
  <c r="F152" i="102"/>
  <c r="G154" i="102"/>
  <c r="D200" i="102"/>
  <c r="AB200" i="239" s="1"/>
  <c r="D49" i="102"/>
  <c r="AB49" i="239" s="1"/>
  <c r="H32" i="102"/>
  <c r="F43" i="102"/>
  <c r="F59" i="102"/>
  <c r="E67" i="102"/>
  <c r="D80" i="102"/>
  <c r="AB80" i="239" s="1"/>
  <c r="F146" i="102"/>
  <c r="F154" i="102"/>
  <c r="G171" i="102"/>
  <c r="D189" i="102"/>
  <c r="AB189" i="239" s="1"/>
  <c r="E179" i="102"/>
  <c r="E171" i="102"/>
  <c r="E163" i="102"/>
  <c r="H151" i="102"/>
  <c r="F85" i="102"/>
  <c r="E177" i="102"/>
  <c r="E169" i="102"/>
  <c r="E161" i="102"/>
  <c r="H149" i="102"/>
  <c r="H79" i="102"/>
  <c r="H195" i="102"/>
  <c r="H189" i="102"/>
  <c r="H185" i="102"/>
  <c r="D177" i="102"/>
  <c r="AB177" i="239" s="1"/>
  <c r="D169" i="102"/>
  <c r="AB169" i="239" s="1"/>
  <c r="D161" i="102"/>
  <c r="AB161" i="239" s="1"/>
  <c r="F149" i="102"/>
  <c r="G62" i="102"/>
  <c r="D65" i="102"/>
  <c r="AB65" i="239" s="1"/>
  <c r="D73" i="102"/>
  <c r="F86" i="102"/>
  <c r="G144" i="102"/>
  <c r="F161" i="102"/>
  <c r="F169" i="102"/>
  <c r="F177" i="102"/>
  <c r="D187" i="102"/>
  <c r="AB187" i="239" s="1"/>
  <c r="F62" i="102"/>
  <c r="F184" i="102"/>
  <c r="F188" i="102"/>
  <c r="F192" i="102"/>
  <c r="G165" i="102"/>
  <c r="E186" i="102"/>
  <c r="D151" i="102"/>
  <c r="AB151" i="239" s="1"/>
  <c r="G166" i="102"/>
  <c r="D174" i="102"/>
  <c r="AB174" i="239" s="1"/>
  <c r="E189" i="102"/>
  <c r="G55" i="102"/>
  <c r="G73" i="102"/>
  <c r="F52" i="102"/>
  <c r="H80" i="102"/>
  <c r="D146" i="102"/>
  <c r="AB146" i="239" s="1"/>
  <c r="H67" i="102"/>
  <c r="F150" i="102"/>
  <c r="D185" i="102"/>
  <c r="AB185" i="239" s="1"/>
  <c r="E159" i="102"/>
  <c r="E165" i="102"/>
  <c r="D53" i="102"/>
  <c r="AB53" i="239" s="1"/>
  <c r="H191" i="102"/>
  <c r="D173" i="102"/>
  <c r="AB173" i="239" s="1"/>
  <c r="F144" i="102"/>
  <c r="D66" i="102"/>
  <c r="AB66" i="239" s="1"/>
  <c r="F165" i="102"/>
  <c r="D179" i="102"/>
  <c r="AB179" i="239" s="1"/>
  <c r="E85" i="102"/>
  <c r="F179" i="102"/>
  <c r="H165" i="102"/>
  <c r="G167" i="102"/>
  <c r="G200" i="102"/>
  <c r="H148" i="102"/>
  <c r="H48" i="102"/>
  <c r="E55" i="102"/>
  <c r="E195" i="102"/>
  <c r="D188" i="102"/>
  <c r="AB188" i="239" s="1"/>
  <c r="G85" i="102"/>
  <c r="H174" i="102"/>
  <c r="D162" i="102"/>
  <c r="AB162" i="239" s="1"/>
  <c r="G176" i="102"/>
  <c r="D164" i="102"/>
  <c r="AB164" i="239" s="1"/>
  <c r="G112" i="102"/>
  <c r="G122" i="102" s="1"/>
  <c r="Y198" i="239"/>
  <c r="Y202" i="239" s="1"/>
  <c r="Y9" i="239"/>
  <c r="Y11" i="239" s="1"/>
  <c r="H198" i="239"/>
  <c r="H202" i="239" s="1"/>
  <c r="H9" i="239"/>
  <c r="H11" i="239" s="1"/>
  <c r="E198" i="239"/>
  <c r="E202" i="239" s="1"/>
  <c r="E9" i="239"/>
  <c r="E11" i="239" s="1"/>
  <c r="D11" i="239"/>
  <c r="D14" i="239" s="1"/>
  <c r="E13" i="239" s="1"/>
  <c r="F112" i="102"/>
  <c r="K101" i="239"/>
  <c r="J122" i="239"/>
  <c r="G81" i="102"/>
  <c r="E81" i="102"/>
  <c r="H81" i="102"/>
  <c r="F81" i="102"/>
  <c r="D81" i="102"/>
  <c r="AB81" i="239" s="1"/>
  <c r="E178" i="102"/>
  <c r="G174" i="102"/>
  <c r="F170" i="102"/>
  <c r="D166" i="102"/>
  <c r="AB166" i="239" s="1"/>
  <c r="H162" i="102"/>
  <c r="E162" i="102"/>
  <c r="G158" i="102"/>
  <c r="G51" i="102"/>
  <c r="D78" i="102"/>
  <c r="F176" i="102"/>
  <c r="H172" i="102"/>
  <c r="E172" i="102"/>
  <c r="D168" i="102"/>
  <c r="AB168" i="239" s="1"/>
  <c r="G164" i="102"/>
  <c r="F160" i="102"/>
  <c r="D147" i="102"/>
  <c r="AB147" i="239" s="1"/>
  <c r="G53" i="102"/>
  <c r="F32" i="102"/>
  <c r="D51" i="102"/>
  <c r="AB51" i="239" s="1"/>
  <c r="G65" i="102"/>
  <c r="E101" i="102"/>
  <c r="E122" i="102" s="1"/>
  <c r="X198" i="239"/>
  <c r="X202" i="239" s="1"/>
  <c r="X9" i="239"/>
  <c r="X11" i="239" s="1"/>
  <c r="G22" i="102"/>
  <c r="G23" i="102" s="1"/>
  <c r="H22" i="102"/>
  <c r="H23" i="102" s="1"/>
  <c r="D22" i="102"/>
  <c r="F22" i="102"/>
  <c r="F23" i="102" s="1"/>
  <c r="E22" i="102"/>
  <c r="E23" i="102" s="1"/>
  <c r="S198" i="239"/>
  <c r="S202" i="239" s="1"/>
  <c r="S9" i="239"/>
  <c r="S11" i="239" s="1"/>
  <c r="M48" i="237"/>
  <c r="P68" i="227"/>
  <c r="Q10" i="227"/>
  <c r="D112" i="102"/>
  <c r="AB112" i="239" s="1"/>
  <c r="J90" i="239"/>
  <c r="T198" i="239"/>
  <c r="T202" i="239" s="1"/>
  <c r="T9" i="239"/>
  <c r="T11" i="239" s="1"/>
  <c r="I198" i="239"/>
  <c r="I202" i="239" s="1"/>
  <c r="I9" i="239"/>
  <c r="I11" i="239" s="1"/>
  <c r="H112" i="102"/>
  <c r="G74" i="102"/>
  <c r="E74" i="102"/>
  <c r="F74" i="102"/>
  <c r="D74" i="102"/>
  <c r="AB74" i="239" s="1"/>
  <c r="H74" i="102"/>
  <c r="E44" i="102"/>
  <c r="H44" i="102"/>
  <c r="G44" i="102"/>
  <c r="F44" i="102"/>
  <c r="D44" i="102"/>
  <c r="AB44" i="239" s="1"/>
  <c r="O198" i="239"/>
  <c r="O202" i="239" s="1"/>
  <c r="O9" i="239"/>
  <c r="O11" i="239" s="1"/>
  <c r="H101" i="102"/>
  <c r="E69" i="102"/>
  <c r="H69" i="102"/>
  <c r="F69" i="102"/>
  <c r="D69" i="102"/>
  <c r="AB69" i="239" s="1"/>
  <c r="G69" i="102"/>
  <c r="G34" i="102"/>
  <c r="H34" i="102"/>
  <c r="F34" i="102"/>
  <c r="D34" i="102"/>
  <c r="AB34" i="239" s="1"/>
  <c r="E34" i="102"/>
  <c r="D184" i="102"/>
  <c r="AB184" i="239" s="1"/>
  <c r="D192" i="102"/>
  <c r="AB192" i="239" s="1"/>
  <c r="G40" i="102"/>
  <c r="G178" i="102"/>
  <c r="F174" i="102"/>
  <c r="D170" i="102"/>
  <c r="AB170" i="239" s="1"/>
  <c r="H166" i="102"/>
  <c r="E166" i="102"/>
  <c r="G162" i="102"/>
  <c r="F158" i="102"/>
  <c r="D64" i="102"/>
  <c r="AB64" i="239" s="1"/>
  <c r="D86" i="102"/>
  <c r="AB86" i="239" s="1"/>
  <c r="F27" i="102"/>
  <c r="H176" i="102"/>
  <c r="E176" i="102"/>
  <c r="D172" i="102"/>
  <c r="AB172" i="239" s="1"/>
  <c r="G168" i="102"/>
  <c r="F164" i="102"/>
  <c r="H160" i="102"/>
  <c r="E160" i="102"/>
  <c r="W198" i="239"/>
  <c r="W202" i="239" s="1"/>
  <c r="D11" i="238"/>
  <c r="D202" i="238"/>
  <c r="AA122" i="239"/>
  <c r="AA140" i="239" s="1"/>
  <c r="D63" i="102" l="1"/>
  <c r="AB63" i="239" s="1"/>
  <c r="H62" i="102"/>
  <c r="G52" i="102"/>
  <c r="G38" i="102"/>
  <c r="G48" i="237"/>
  <c r="G39" i="102" s="1"/>
  <c r="F50" i="102"/>
  <c r="F54" i="102" s="1"/>
  <c r="F56" i="102" s="1"/>
  <c r="F39" i="102"/>
  <c r="F145" i="102" s="1"/>
  <c r="F155" i="102" s="1"/>
  <c r="H64" i="102"/>
  <c r="F66" i="102"/>
  <c r="G63" i="102"/>
  <c r="H48" i="237"/>
  <c r="H63" i="102" s="1"/>
  <c r="G64" i="102"/>
  <c r="E48" i="237"/>
  <c r="E66" i="102" s="1"/>
  <c r="D29" i="102"/>
  <c r="AB29" i="239" s="1"/>
  <c r="E62" i="102"/>
  <c r="E65" i="102"/>
  <c r="D145" i="102"/>
  <c r="AB145" i="239" s="1"/>
  <c r="F63" i="102"/>
  <c r="H88" i="102"/>
  <c r="F29" i="102"/>
  <c r="E29" i="102"/>
  <c r="E88" i="102"/>
  <c r="G29" i="102"/>
  <c r="H122" i="102"/>
  <c r="H137" i="102" s="1"/>
  <c r="H50" i="102"/>
  <c r="AF12" i="237"/>
  <c r="F7" i="237" s="1"/>
  <c r="J11" i="69" s="1"/>
  <c r="AD11" i="69" s="1"/>
  <c r="AG11" i="237"/>
  <c r="H6" i="227" s="1"/>
  <c r="P6" i="227" s="1"/>
  <c r="E16" i="102"/>
  <c r="F88" i="102"/>
  <c r="E193" i="102"/>
  <c r="G82" i="102"/>
  <c r="G134" i="102"/>
  <c r="G133" i="102"/>
  <c r="G126" i="102"/>
  <c r="G135" i="102"/>
  <c r="G130" i="102"/>
  <c r="G127" i="102"/>
  <c r="G131" i="102"/>
  <c r="G132" i="102"/>
  <c r="G129" i="102"/>
  <c r="G128" i="102"/>
  <c r="G137" i="102"/>
  <c r="G125" i="102"/>
  <c r="G136" i="102"/>
  <c r="AB78" i="239"/>
  <c r="D82" i="102"/>
  <c r="AB82" i="239" s="1"/>
  <c r="AB158" i="239"/>
  <c r="D180" i="102"/>
  <c r="AB180" i="239" s="1"/>
  <c r="AB60" i="239"/>
  <c r="AB85" i="239"/>
  <c r="D88" i="102"/>
  <c r="AB88" i="239" s="1"/>
  <c r="H180" i="102"/>
  <c r="Q68" i="227"/>
  <c r="R10" i="227"/>
  <c r="R68" i="227" s="1"/>
  <c r="E134" i="102"/>
  <c r="E127" i="102"/>
  <c r="E126" i="102"/>
  <c r="E135" i="102"/>
  <c r="E130" i="102"/>
  <c r="E136" i="102"/>
  <c r="E128" i="102"/>
  <c r="E131" i="102"/>
  <c r="E133" i="102"/>
  <c r="E125" i="102"/>
  <c r="E137" i="102"/>
  <c r="E132" i="102"/>
  <c r="E129" i="102"/>
  <c r="F35" i="102"/>
  <c r="H35" i="102"/>
  <c r="G193" i="102"/>
  <c r="H193" i="102"/>
  <c r="H75" i="102"/>
  <c r="E180" i="102"/>
  <c r="I48" i="237"/>
  <c r="F180" i="102"/>
  <c r="H130" i="102"/>
  <c r="H126" i="102"/>
  <c r="H129" i="102"/>
  <c r="H136" i="102"/>
  <c r="H127" i="102"/>
  <c r="H128" i="102"/>
  <c r="H125" i="102"/>
  <c r="AB22" i="239"/>
  <c r="D23" i="102"/>
  <c r="AB23" i="239" s="1"/>
  <c r="AB183" i="239"/>
  <c r="D193" i="102"/>
  <c r="AB193" i="239" s="1"/>
  <c r="G35" i="102"/>
  <c r="D122" i="102"/>
  <c r="AB122" i="239" s="1"/>
  <c r="H82" i="102"/>
  <c r="AB38" i="239"/>
  <c r="D45" i="102"/>
  <c r="AB45" i="239" s="1"/>
  <c r="G180" i="102"/>
  <c r="J140" i="239"/>
  <c r="K122" i="239"/>
  <c r="E14" i="239"/>
  <c r="F13" i="239" s="1"/>
  <c r="F14" i="239" s="1"/>
  <c r="G13" i="239" s="1"/>
  <c r="G14" i="239" s="1"/>
  <c r="H13" i="239" s="1"/>
  <c r="H14" i="239" s="1"/>
  <c r="I13" i="239" s="1"/>
  <c r="I14" i="239" s="1"/>
  <c r="G88" i="102"/>
  <c r="G75" i="102"/>
  <c r="AB73" i="239"/>
  <c r="D75" i="102"/>
  <c r="AB75" i="239" s="1"/>
  <c r="AB32" i="239"/>
  <c r="D35" i="102"/>
  <c r="AB35" i="239" s="1"/>
  <c r="F82" i="102"/>
  <c r="F75" i="102"/>
  <c r="E35" i="102"/>
  <c r="E75" i="102"/>
  <c r="F122" i="102"/>
  <c r="E82" i="102"/>
  <c r="AB101" i="239"/>
  <c r="J9" i="239"/>
  <c r="K90" i="239"/>
  <c r="AB48" i="239"/>
  <c r="D54" i="102"/>
  <c r="AB143" i="239"/>
  <c r="F193" i="102"/>
  <c r="AA197" i="239"/>
  <c r="D68" i="102" l="1"/>
  <c r="H49" i="102"/>
  <c r="H54" i="102" s="1"/>
  <c r="H56" i="102" s="1"/>
  <c r="G50" i="102"/>
  <c r="E49" i="102"/>
  <c r="E39" i="102"/>
  <c r="E50" i="102"/>
  <c r="E63" i="102"/>
  <c r="E68" i="102" s="1"/>
  <c r="E70" i="102" s="1"/>
  <c r="F45" i="102"/>
  <c r="G145" i="102"/>
  <c r="G155" i="102" s="1"/>
  <c r="G45" i="102"/>
  <c r="G49" i="102"/>
  <c r="G66" i="102"/>
  <c r="G68" i="102" s="1"/>
  <c r="G70" i="102" s="1"/>
  <c r="H66" i="102"/>
  <c r="H68" i="102" s="1"/>
  <c r="H70" i="102" s="1"/>
  <c r="H39" i="102"/>
  <c r="F68" i="102"/>
  <c r="F70" i="102" s="1"/>
  <c r="D155" i="102"/>
  <c r="AB155" i="239" s="1"/>
  <c r="H131" i="102"/>
  <c r="H132" i="102"/>
  <c r="H133" i="102"/>
  <c r="H135" i="102"/>
  <c r="H134" i="102"/>
  <c r="F16" i="102"/>
  <c r="G138" i="102"/>
  <c r="G140" i="102" s="1"/>
  <c r="AG12" i="237"/>
  <c r="G7" i="237" s="1"/>
  <c r="K11" i="69" s="1"/>
  <c r="AE11" i="69" s="1"/>
  <c r="AH11" i="237"/>
  <c r="I6" i="227" s="1"/>
  <c r="Q6" i="227" s="1"/>
  <c r="F126" i="102"/>
  <c r="F136" i="102"/>
  <c r="F132" i="102"/>
  <c r="F134" i="102"/>
  <c r="F137" i="102"/>
  <c r="F125" i="102"/>
  <c r="F129" i="102"/>
  <c r="F133" i="102"/>
  <c r="F128" i="102"/>
  <c r="F127" i="102"/>
  <c r="F131" i="102"/>
  <c r="F135" i="102"/>
  <c r="F130" i="102"/>
  <c r="E138" i="102"/>
  <c r="E140" i="102" s="1"/>
  <c r="K9" i="239"/>
  <c r="D56" i="102"/>
  <c r="AB56" i="239" s="1"/>
  <c r="AB54" i="239"/>
  <c r="J197" i="239"/>
  <c r="K140" i="239"/>
  <c r="D135" i="102"/>
  <c r="AB135" i="239" s="1"/>
  <c r="D131" i="102"/>
  <c r="AB131" i="239" s="1"/>
  <c r="D127" i="102"/>
  <c r="AB127" i="239" s="1"/>
  <c r="D133" i="102"/>
  <c r="AB133" i="239" s="1"/>
  <c r="D130" i="102"/>
  <c r="AB130" i="239" s="1"/>
  <c r="D132" i="102"/>
  <c r="AB132" i="239" s="1"/>
  <c r="D129" i="102"/>
  <c r="AB129" i="239" s="1"/>
  <c r="D137" i="102"/>
  <c r="AB137" i="239" s="1"/>
  <c r="D128" i="102"/>
  <c r="AB128" i="239" s="1"/>
  <c r="D136" i="102"/>
  <c r="AB136" i="239" s="1"/>
  <c r="D126" i="102"/>
  <c r="AB126" i="239" s="1"/>
  <c r="D125" i="102"/>
  <c r="D134" i="102"/>
  <c r="AB134" i="239" s="1"/>
  <c r="AB68" i="239"/>
  <c r="D70" i="102"/>
  <c r="AB70" i="239" s="1"/>
  <c r="AA10" i="239"/>
  <c r="AA198" i="239"/>
  <c r="G54" i="102" l="1"/>
  <c r="G56" i="102" s="1"/>
  <c r="G90" i="102" s="1"/>
  <c r="G9" i="102" s="1"/>
  <c r="G12" i="102" s="1"/>
  <c r="E54" i="102"/>
  <c r="E56" i="102" s="1"/>
  <c r="F90" i="102"/>
  <c r="F9" i="102" s="1"/>
  <c r="F12" i="102" s="1"/>
  <c r="G197" i="102"/>
  <c r="G10" i="102" s="1"/>
  <c r="G13" i="102" s="1"/>
  <c r="E45" i="102"/>
  <c r="E145" i="102"/>
  <c r="E155" i="102" s="1"/>
  <c r="E197" i="102" s="1"/>
  <c r="E10" i="102" s="1"/>
  <c r="E13" i="102" s="1"/>
  <c r="H145" i="102"/>
  <c r="H155" i="102" s="1"/>
  <c r="H45" i="102"/>
  <c r="H90" i="102" s="1"/>
  <c r="H9" i="102" s="1"/>
  <c r="H12" i="102" s="1"/>
  <c r="H138" i="102"/>
  <c r="H140" i="102" s="1"/>
  <c r="AI11" i="237"/>
  <c r="H16" i="102" s="1"/>
  <c r="G16" i="102"/>
  <c r="J6" i="227"/>
  <c r="R6" i="227" s="1"/>
  <c r="AH12" i="237"/>
  <c r="H7" i="237" s="1"/>
  <c r="L11" i="69" s="1"/>
  <c r="AF11" i="69" s="1"/>
  <c r="K197" i="239"/>
  <c r="J10" i="239"/>
  <c r="J198" i="239"/>
  <c r="AB125" i="239"/>
  <c r="D138" i="102"/>
  <c r="D90" i="102"/>
  <c r="F138" i="102"/>
  <c r="F140" i="102" s="1"/>
  <c r="F197" i="102" s="1"/>
  <c r="AA202" i="239"/>
  <c r="AA11" i="239"/>
  <c r="E90" i="102" l="1"/>
  <c r="E9" i="102" s="1"/>
  <c r="G198" i="102"/>
  <c r="G202" i="102" s="1"/>
  <c r="G11" i="102"/>
  <c r="H197" i="102"/>
  <c r="H10" i="102" s="1"/>
  <c r="H13" i="102" s="1"/>
  <c r="AI12" i="237"/>
  <c r="I7" i="237" s="1"/>
  <c r="AJ11" i="237"/>
  <c r="D140" i="102"/>
  <c r="AB138" i="239"/>
  <c r="F10" i="102"/>
  <c r="F13" i="102" s="1"/>
  <c r="F198" i="102"/>
  <c r="F202" i="102" s="1"/>
  <c r="J202" i="239"/>
  <c r="K202" i="239" s="1"/>
  <c r="K198" i="239"/>
  <c r="AB90" i="239"/>
  <c r="D9" i="102"/>
  <c r="D12" i="102" s="1"/>
  <c r="K10" i="239"/>
  <c r="J11" i="239"/>
  <c r="E198" i="102" l="1"/>
  <c r="E202" i="102" s="1"/>
  <c r="E12" i="102"/>
  <c r="E11" i="102"/>
  <c r="H198" i="102"/>
  <c r="H202" i="102" s="1"/>
  <c r="H11" i="102"/>
  <c r="AK11" i="237"/>
  <c r="AJ12" i="237"/>
  <c r="J7" i="237" s="1"/>
  <c r="D197" i="102"/>
  <c r="AB140" i="239"/>
  <c r="F11" i="102"/>
  <c r="J14" i="239"/>
  <c r="N13" i="239" s="1"/>
  <c r="K11" i="239"/>
  <c r="AB9" i="239"/>
  <c r="AL11" i="237" l="1"/>
  <c r="AK12" i="237"/>
  <c r="K7" i="237" s="1"/>
  <c r="AA13" i="239"/>
  <c r="AA14" i="239" s="1"/>
  <c r="N14" i="239"/>
  <c r="O13" i="239" s="1"/>
  <c r="O14" i="239" s="1"/>
  <c r="P13" i="239" s="1"/>
  <c r="P14" i="239" s="1"/>
  <c r="Q13" i="239" s="1"/>
  <c r="Q14" i="239" s="1"/>
  <c r="R13" i="239" s="1"/>
  <c r="R14" i="239" s="1"/>
  <c r="S13" i="239" s="1"/>
  <c r="S14" i="239" s="1"/>
  <c r="T13" i="239" s="1"/>
  <c r="T14" i="239" s="1"/>
  <c r="U13" i="239" s="1"/>
  <c r="U14" i="239" s="1"/>
  <c r="V13" i="239" s="1"/>
  <c r="V14" i="239" s="1"/>
  <c r="W13" i="239" s="1"/>
  <c r="W14" i="239" s="1"/>
  <c r="X13" i="239" s="1"/>
  <c r="X14" i="239" s="1"/>
  <c r="Y13" i="239" s="1"/>
  <c r="Y14" i="239" s="1"/>
  <c r="Z13" i="239" s="1"/>
  <c r="Z14" i="239" s="1"/>
  <c r="D10" i="102"/>
  <c r="D13" i="102" s="1"/>
  <c r="AB197" i="239"/>
  <c r="D198" i="102"/>
  <c r="AM11" i="237" l="1"/>
  <c r="AL12" i="237"/>
  <c r="L7" i="237" s="1"/>
  <c r="D202" i="102"/>
  <c r="AB202" i="239" s="1"/>
  <c r="AB198" i="239"/>
  <c r="AB10" i="239"/>
  <c r="D11" i="102"/>
  <c r="AB11" i="239" s="1"/>
  <c r="AM12" i="237" l="1"/>
  <c r="M7" i="237" s="1"/>
  <c r="AN11" i="237"/>
  <c r="AN12" i="237" l="1"/>
  <c r="AO11" i="237"/>
  <c r="AO12" i="237" s="1"/>
</calcChain>
</file>

<file path=xl/comments1.xml><?xml version="1.0" encoding="utf-8"?>
<comments xmlns="http://schemas.openxmlformats.org/spreadsheetml/2006/main">
  <authors>
    <author>DHruby</author>
    <author>Gasper Martinez</author>
  </authors>
  <commentList>
    <comment ref="C30" authorId="0" shapeId="0">
      <text>
        <r>
          <rPr>
            <b/>
            <sz val="12"/>
            <color indexed="81"/>
            <rFont val="Calibri"/>
            <family val="2"/>
            <scheme val="minor"/>
          </rPr>
          <t>ADM
The total number of school days within a given term - usually a school month or school year - that a student's name is on the current roll of a class, regardless of his/her being present or absent, is the "number of days in membership" for that student.</t>
        </r>
        <r>
          <rPr>
            <sz val="9"/>
            <color indexed="81"/>
            <rFont val="Tahoma"/>
            <family val="2"/>
          </rPr>
          <t xml:space="preserve">
</t>
        </r>
      </text>
    </comment>
    <comment ref="C33" authorId="0" shapeId="0">
      <text>
        <r>
          <rPr>
            <b/>
            <sz val="12"/>
            <color indexed="81"/>
            <rFont val="Calibri"/>
            <family val="2"/>
            <scheme val="minor"/>
          </rPr>
          <t>ADA
Attendance is the presence of a student on days when school is in session. A student is counted as present only when he/she is actually at school, present at another activity sponsored by the school as part of the school's program, or personally supervised by a member of the staff.</t>
        </r>
        <r>
          <rPr>
            <sz val="9"/>
            <color indexed="81"/>
            <rFont val="Tahoma"/>
            <family val="2"/>
          </rPr>
          <t xml:space="preserve">
</t>
        </r>
      </text>
    </comment>
    <comment ref="C41" authorId="1" shapeId="0">
      <text>
        <r>
          <rPr>
            <b/>
            <sz val="12"/>
            <color indexed="81"/>
            <rFont val="Calibri"/>
            <family val="2"/>
            <scheme val="minor"/>
          </rPr>
          <t>Free and Reduced Cannot be greater than 100% Combined.</t>
        </r>
      </text>
    </comment>
    <comment ref="C44" authorId="1" shapeId="0">
      <text>
        <r>
          <rPr>
            <b/>
            <sz val="12"/>
            <color indexed="81"/>
            <rFont val="Calibri"/>
            <family val="2"/>
            <scheme val="minor"/>
          </rPr>
          <t>Free and Reduced Cannot be 
greater than 100% Combined.</t>
        </r>
      </text>
    </comment>
  </commentList>
</comments>
</file>

<file path=xl/comments2.xml><?xml version="1.0" encoding="utf-8"?>
<comments xmlns="http://schemas.openxmlformats.org/spreadsheetml/2006/main">
  <authors>
    <author>hrubyda</author>
    <author>Hruby, David</author>
  </authors>
  <commentList>
    <comment ref="C95" authorId="0"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C96" authorId="0"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C97" authorId="0"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C100" authorId="0"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C105" authorId="0"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C109" authorId="0"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C111" authorId="0"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C146" authorId="1"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 ref="C159" authorId="0" shapeId="0">
      <text>
        <r>
          <rPr>
            <b/>
            <sz val="11"/>
            <color indexed="81"/>
            <rFont val="Calibri"/>
            <family val="2"/>
            <scheme val="minor"/>
          </rPr>
          <t>Expenses under Other would include:</t>
        </r>
        <r>
          <rPr>
            <sz val="11"/>
            <color indexed="81"/>
            <rFont val="Calibri"/>
            <family val="2"/>
            <scheme val="minor"/>
          </rPr>
          <t xml:space="preserve">
 - Development
 - Conferences</t>
        </r>
      </text>
    </comment>
    <comment ref="C163" authorId="0" shapeId="0">
      <text>
        <r>
          <rPr>
            <b/>
            <sz val="11"/>
            <color indexed="81"/>
            <rFont val="Calibri"/>
            <family val="2"/>
            <scheme val="minor"/>
          </rPr>
          <t>Expenses under Other would include:</t>
        </r>
        <r>
          <rPr>
            <sz val="11"/>
            <color indexed="81"/>
            <rFont val="Calibri"/>
            <family val="2"/>
            <scheme val="minor"/>
          </rPr>
          <t xml:space="preserve">
 - Curriculum</t>
        </r>
        <r>
          <rPr>
            <sz val="8"/>
            <color indexed="81"/>
            <rFont val="Tahoma"/>
            <family val="2"/>
          </rPr>
          <t xml:space="preserve">
</t>
        </r>
      </text>
    </comment>
    <comment ref="C164" authorId="0" shapeId="0">
      <text>
        <r>
          <rPr>
            <b/>
            <sz val="11"/>
            <color indexed="81"/>
            <rFont val="Calibri"/>
            <family val="2"/>
            <scheme val="minor"/>
          </rPr>
          <t>Expenses under Other would include:</t>
        </r>
        <r>
          <rPr>
            <sz val="11"/>
            <color indexed="81"/>
            <rFont val="Calibri"/>
            <family val="2"/>
            <scheme val="minor"/>
          </rPr>
          <t xml:space="preserve">
 - Instructional
 - Non-Instructional
 - Athletic
 - Music
 - Office Equipment
</t>
        </r>
        <r>
          <rPr>
            <b/>
            <sz val="11"/>
            <color indexed="81"/>
            <rFont val="Calibri"/>
            <family val="2"/>
            <scheme val="minor"/>
          </rPr>
          <t>* Includes the Purchase or Lease of  any of the above</t>
        </r>
      </text>
    </comment>
    <comment ref="C166" authorId="0" shapeId="0">
      <text>
        <r>
          <rPr>
            <b/>
            <sz val="11"/>
            <color indexed="81"/>
            <rFont val="Calibri"/>
            <family val="2"/>
            <scheme val="minor"/>
          </rPr>
          <t>Expenses under Other would include:</t>
        </r>
        <r>
          <rPr>
            <sz val="11"/>
            <color indexed="81"/>
            <rFont val="Calibri"/>
            <family val="2"/>
            <scheme val="minor"/>
          </rPr>
          <t xml:space="preserve">
 - Hardware
 - Software
 - Internet
 - Wiring
 - Other</t>
        </r>
      </text>
    </comment>
    <comment ref="C170" authorId="0" shapeId="0">
      <text>
        <r>
          <rPr>
            <b/>
            <sz val="11"/>
            <color indexed="81"/>
            <rFont val="Calibri"/>
            <family val="2"/>
            <scheme val="minor"/>
          </rPr>
          <t>Expenses under Other would include:</t>
        </r>
        <r>
          <rPr>
            <sz val="11"/>
            <color indexed="81"/>
            <rFont val="Calibri"/>
            <family val="2"/>
            <scheme val="minor"/>
          </rPr>
          <t xml:space="preserve">
 - Uniforms
 - Special Events</t>
        </r>
      </text>
    </comment>
    <comment ref="C171" authorId="0" shapeId="0">
      <text>
        <r>
          <rPr>
            <b/>
            <sz val="11"/>
            <color indexed="81"/>
            <rFont val="Calibri"/>
            <family val="2"/>
            <scheme val="minor"/>
          </rPr>
          <t>Expenses under Other would include:</t>
        </r>
        <r>
          <rPr>
            <sz val="11"/>
            <color indexed="81"/>
            <rFont val="Calibri"/>
            <family val="2"/>
            <scheme val="minor"/>
          </rPr>
          <t xml:space="preserve">
 - Printing
 - Postage
 - Copying
 - All Other</t>
        </r>
      </text>
    </comment>
    <comment ref="C178"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79"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 ref="C180" authorId="0" shapeId="0">
      <text>
        <r>
          <rPr>
            <b/>
            <sz val="11"/>
            <color indexed="81"/>
            <rFont val="Calibri"/>
            <family val="2"/>
            <scheme val="minor"/>
          </rPr>
          <t>Expenses under Other would include:</t>
        </r>
        <r>
          <rPr>
            <sz val="11"/>
            <color indexed="81"/>
            <rFont val="Calibri"/>
            <family val="2"/>
            <scheme val="minor"/>
          </rPr>
          <t xml:space="preserve">
 - Interest 
 - Bank Charges
 - Bad Debt
 - Misc. Fees (i.e. Licensing)
 - Dues &amp; Membership
 - All Other 
</t>
        </r>
      </text>
    </comment>
  </commentList>
</comments>
</file>

<file path=xl/comments3.xml><?xml version="1.0" encoding="utf-8"?>
<comments xmlns="http://schemas.openxmlformats.org/spreadsheetml/2006/main">
  <authors>
    <author>Hruby, David</author>
    <author>hrubyda</author>
  </authors>
  <commentList>
    <comment ref="B39" authorId="0" shapeId="0">
      <text>
        <r>
          <rPr>
            <b/>
            <sz val="11"/>
            <color indexed="81"/>
            <rFont val="Calibri"/>
            <family val="2"/>
            <scheme val="minor"/>
          </rPr>
          <t xml:space="preserve">WA Commission:
</t>
        </r>
        <r>
          <rPr>
            <sz val="11"/>
            <color indexed="81"/>
            <rFont val="Calibri"/>
            <family val="2"/>
            <scheme val="minor"/>
          </rPr>
          <t>Learning Assistance is calculated by taking the total FRPL enrollment from the 'Enrollment' Tab (row 48) multiplied by the per pupil amount entered in on the 'Assumptions' tab (cell F40)</t>
        </r>
      </text>
    </comment>
    <comment ref="B41" authorId="0" shapeId="0">
      <text>
        <r>
          <rPr>
            <b/>
            <sz val="11"/>
            <color indexed="81"/>
            <rFont val="Calibri"/>
            <family val="2"/>
            <scheme val="minor"/>
          </rPr>
          <t xml:space="preserve">WA Commission:
</t>
        </r>
        <r>
          <rPr>
            <sz val="11"/>
            <color indexed="81"/>
            <rFont val="Calibri"/>
            <family val="2"/>
            <scheme val="minor"/>
          </rPr>
          <t>Highly Capable is calculated by taking 5% of the total enrollment from the 'Enrollment' Tab (row 25) multiplied by the per pupil amount entered in on the 'Assumptions' tab (cell F42)</t>
        </r>
      </text>
    </comment>
    <comment ref="B94" authorId="1"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5" authorId="1"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6" authorId="1"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9" authorId="1"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4" authorId="1"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8" authorId="1"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10" authorId="1"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B145" authorId="0"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List>
</comments>
</file>

<file path=xl/comments4.xml><?xml version="1.0" encoding="utf-8"?>
<comments xmlns="http://schemas.openxmlformats.org/spreadsheetml/2006/main">
  <authors>
    <author>Hruby, David</author>
    <author>hrubyda</author>
  </authors>
  <commentList>
    <comment ref="B39" authorId="0" shapeId="0">
      <text>
        <r>
          <rPr>
            <b/>
            <sz val="11"/>
            <color indexed="81"/>
            <rFont val="Calibri"/>
            <family val="2"/>
            <scheme val="minor"/>
          </rPr>
          <t xml:space="preserve">WA Commission:
</t>
        </r>
        <r>
          <rPr>
            <sz val="11"/>
            <color indexed="81"/>
            <rFont val="Calibri"/>
            <family val="2"/>
            <scheme val="minor"/>
          </rPr>
          <t>Learning Assistance is calculated by taking the total FRPL enrollment from the 'Enrollment' Tab (row 48) multiplied by the per pupil amount entered in on the 'Assumptions' tab (cell F40)</t>
        </r>
      </text>
    </comment>
    <comment ref="B41" authorId="0" shapeId="0">
      <text>
        <r>
          <rPr>
            <b/>
            <sz val="11"/>
            <color indexed="81"/>
            <rFont val="Calibri"/>
            <family val="2"/>
            <scheme val="minor"/>
          </rPr>
          <t xml:space="preserve">WA Commission:
</t>
        </r>
        <r>
          <rPr>
            <sz val="11"/>
            <color indexed="81"/>
            <rFont val="Calibri"/>
            <family val="2"/>
            <scheme val="minor"/>
          </rPr>
          <t>Highly Capable is calculated by taking 5% of the total enrollment from the 'Enrollment' Tab (row 25) multiplied by the per pupil amount entered in on the 'Assumptions' tab (cell F42)</t>
        </r>
      </text>
    </comment>
    <comment ref="B94" authorId="1" shapeId="0">
      <text>
        <r>
          <rPr>
            <b/>
            <sz val="11"/>
            <color indexed="81"/>
            <rFont val="Calibri"/>
            <family val="2"/>
            <scheme val="minor"/>
          </rPr>
          <t xml:space="preserve">Sample titles that fall under this line:
 - </t>
        </r>
        <r>
          <rPr>
            <sz val="11"/>
            <color indexed="81"/>
            <rFont val="Calibri"/>
            <family val="2"/>
            <scheme val="minor"/>
          </rPr>
          <t>Head of School
 - Superintendant
 - School Leader
 - Executive Director
 - CEO</t>
        </r>
      </text>
    </comment>
    <comment ref="B95" authorId="1" shapeId="0">
      <text>
        <r>
          <rPr>
            <b/>
            <sz val="11"/>
            <color indexed="81"/>
            <rFont val="Calibri"/>
            <family val="2"/>
            <scheme val="minor"/>
          </rPr>
          <t xml:space="preserve">Sample titles that fall under this line:
 - </t>
        </r>
        <r>
          <rPr>
            <sz val="11"/>
            <color indexed="81"/>
            <rFont val="Calibri"/>
            <family val="2"/>
            <scheme val="minor"/>
          </rPr>
          <t>Principal
 - Vice-Principal
 - Assistant Principal
 - Chief Academic Officer</t>
        </r>
      </text>
    </comment>
    <comment ref="B96" authorId="1" shapeId="0">
      <text>
        <r>
          <rPr>
            <b/>
            <sz val="11"/>
            <color indexed="81"/>
            <rFont val="Calibri"/>
            <family val="2"/>
            <scheme val="minor"/>
          </rPr>
          <t xml:space="preserve">Sample titles that fall under this line:
</t>
        </r>
        <r>
          <rPr>
            <sz val="11"/>
            <color indexed="81"/>
            <rFont val="Calibri"/>
            <family val="2"/>
            <scheme val="minor"/>
          </rPr>
          <t>Director, Deans, Coordinators of:
 - Curriculum
 - Instruction
 - Faculty
 - Students
 - Assessment
 - Student Affairs
 - Student Achievement
 - Development</t>
        </r>
      </text>
    </comment>
    <comment ref="B99" authorId="1" shapeId="0">
      <text>
        <r>
          <rPr>
            <b/>
            <sz val="11"/>
            <color indexed="81"/>
            <rFont val="Calibri"/>
            <family val="2"/>
            <scheme val="minor"/>
          </rPr>
          <t>Sample titles that fall under this line:</t>
        </r>
        <r>
          <rPr>
            <sz val="11"/>
            <color indexed="81"/>
            <rFont val="Calibri"/>
            <family val="2"/>
            <scheme val="minor"/>
          </rPr>
          <t xml:space="preserve">
 - Secretary
 - Receptionist
 - Attendance Clerk
 - Office Manager</t>
        </r>
      </text>
    </comment>
    <comment ref="B104" authorId="1" shapeId="0">
      <text>
        <r>
          <rPr>
            <b/>
            <sz val="11"/>
            <color indexed="81"/>
            <rFont val="Calibri"/>
            <family val="2"/>
            <scheme val="minor"/>
          </rPr>
          <t>Sample titles that fall under this line:</t>
        </r>
        <r>
          <rPr>
            <sz val="11"/>
            <color indexed="81"/>
            <rFont val="Calibri"/>
            <family val="2"/>
            <scheme val="minor"/>
          </rPr>
          <t xml:space="preserve">
Content/Subject Area Teachers:
   - ELA
   - Math
   - Social Studies
   - Science</t>
        </r>
      </text>
    </comment>
    <comment ref="B108" authorId="1" shapeId="0">
      <text>
        <r>
          <rPr>
            <b/>
            <sz val="11"/>
            <color indexed="81"/>
            <rFont val="Calibri"/>
            <family val="2"/>
            <scheme val="minor"/>
          </rPr>
          <t>Sample titles that fall under this line:</t>
        </r>
        <r>
          <rPr>
            <sz val="11"/>
            <color indexed="81"/>
            <rFont val="Calibri"/>
            <family val="2"/>
            <scheme val="minor"/>
          </rPr>
          <t xml:space="preserve">
 - ESL
 - Reading
 - Math and/or Literacy Specialists
 - Art
 - PE
 - Music
 - Foreign Languages
 - Photography
 - Ceramics</t>
        </r>
      </text>
    </comment>
    <comment ref="B110" authorId="1" shapeId="0">
      <text>
        <r>
          <rPr>
            <b/>
            <sz val="11"/>
            <color indexed="81"/>
            <rFont val="Calibri"/>
            <family val="2"/>
            <scheme val="minor"/>
          </rPr>
          <t>Sample titles that fall under this line:</t>
        </r>
        <r>
          <rPr>
            <sz val="11"/>
            <color indexed="81"/>
            <rFont val="Calibri"/>
            <family val="2"/>
            <scheme val="minor"/>
          </rPr>
          <t xml:space="preserve">
 - Speech Therapists
 - Social Workers</t>
        </r>
      </text>
    </comment>
    <comment ref="B145" authorId="0" shapeId="0">
      <text>
        <r>
          <rPr>
            <b/>
            <sz val="11"/>
            <color indexed="81"/>
            <rFont val="Calibri"/>
            <family val="2"/>
            <scheme val="minor"/>
          </rPr>
          <t>WA Commission:</t>
        </r>
        <r>
          <rPr>
            <sz val="11"/>
            <color indexed="81"/>
            <rFont val="Calibri"/>
            <family val="2"/>
            <scheme val="minor"/>
          </rPr>
          <t xml:space="preserve">
Oversight fee is auto-calculated; Line takes 3% of revenue lines:
 - 3100, 3121, 4121, 4155, 4165, 4174 &amp; 4199
</t>
        </r>
      </text>
    </comment>
  </commentList>
</comments>
</file>

<file path=xl/sharedStrings.xml><?xml version="1.0" encoding="utf-8"?>
<sst xmlns="http://schemas.openxmlformats.org/spreadsheetml/2006/main" count="523" uniqueCount="281">
  <si>
    <t>Kindergarten</t>
  </si>
  <si>
    <t>1st Grade</t>
  </si>
  <si>
    <t>2nd Grade</t>
  </si>
  <si>
    <t>3rd Grade</t>
  </si>
  <si>
    <t>4th Grade</t>
  </si>
  <si>
    <t>5th Grade</t>
  </si>
  <si>
    <t>6th Grade</t>
  </si>
  <si>
    <t>7th Grade</t>
  </si>
  <si>
    <t>8th Grade</t>
  </si>
  <si>
    <t>TOTAL</t>
  </si>
  <si>
    <t>REVENUE</t>
  </si>
  <si>
    <t>Total</t>
  </si>
  <si>
    <t>Total Expenses</t>
  </si>
  <si>
    <t>EXPENSES</t>
  </si>
  <si>
    <t>9th Grade</t>
  </si>
  <si>
    <t>10th Grade</t>
  </si>
  <si>
    <t>11th Grade</t>
  </si>
  <si>
    <t>12th Grade</t>
  </si>
  <si>
    <t>PER STUDENT</t>
  </si>
  <si>
    <t>PER SCHOOL</t>
  </si>
  <si>
    <t>NOTES</t>
  </si>
  <si>
    <t>DO NOT TOUCH ---&gt;</t>
  </si>
  <si>
    <t xml:space="preserve">ASSUMPTION KEY
</t>
  </si>
  <si>
    <t>Net Income</t>
  </si>
  <si>
    <t>Total Revenue</t>
  </si>
  <si>
    <t>Total Enrollment</t>
  </si>
  <si>
    <t>General Instructions and Notes for New Application Budgets and Cash Flows</t>
  </si>
  <si>
    <t>New Applicaton Budget(s) &amp; Cash Flow(s) Template</t>
  </si>
  <si>
    <t>Contact Email:</t>
  </si>
  <si>
    <t>Contact Phone:</t>
  </si>
  <si>
    <t>Title I</t>
  </si>
  <si>
    <t>Fundraising</t>
  </si>
  <si>
    <t>ADMINISTRATIVE STAFF PERSONNEL COSTS</t>
  </si>
  <si>
    <t>Executive Management</t>
  </si>
  <si>
    <t>Instructional Management</t>
  </si>
  <si>
    <t>Deans, Directors &amp; Coordinators</t>
  </si>
  <si>
    <t>CFO / Director of Finance</t>
  </si>
  <si>
    <t>Operation / Business Manager</t>
  </si>
  <si>
    <t>Administrative Staff</t>
  </si>
  <si>
    <t>INSTRUCTIONAL PERSONNEL COSTS</t>
  </si>
  <si>
    <t>Teachers - Regular</t>
  </si>
  <si>
    <t>Teachers - SPED</t>
  </si>
  <si>
    <t>Substitute Teachers</t>
  </si>
  <si>
    <t>Teaching Assistants</t>
  </si>
  <si>
    <t>Specialty Teachers</t>
  </si>
  <si>
    <t>Aides</t>
  </si>
  <si>
    <t>Therapists &amp; Counselors</t>
  </si>
  <si>
    <t>NON-INSTRUCTIONAL PERSONNEL COSTS</t>
  </si>
  <si>
    <t>Nurse</t>
  </si>
  <si>
    <t>Librarian</t>
  </si>
  <si>
    <t>Custodian</t>
  </si>
  <si>
    <t>Security</t>
  </si>
  <si>
    <t>PAYROLL TAXES AND BENEFITS</t>
  </si>
  <si>
    <t>CONTRACTED SERVICES</t>
  </si>
  <si>
    <t xml:space="preserve">Accounting / Audit </t>
  </si>
  <si>
    <t>Legal</t>
  </si>
  <si>
    <t>Management Company Fee</t>
  </si>
  <si>
    <t>Nurse Services</t>
  </si>
  <si>
    <t>Food Service / School Lunch</t>
  </si>
  <si>
    <t>Payroll Services</t>
  </si>
  <si>
    <t>Special Ed Services</t>
  </si>
  <si>
    <t>Titlement Services (i.e. Title I)</t>
  </si>
  <si>
    <t>SCHOOL OPERATIONS</t>
  </si>
  <si>
    <t>Board Expenses</t>
  </si>
  <si>
    <t>Classroom / Teaching Supplies &amp; Materials</t>
  </si>
  <si>
    <t>Special Ed Supplies &amp; Materials</t>
  </si>
  <si>
    <t>Textbooks / Workbooks</t>
  </si>
  <si>
    <t>Supplies &amp; Materials other</t>
  </si>
  <si>
    <t>Equipment / Furniture</t>
  </si>
  <si>
    <t xml:space="preserve">Telephone </t>
  </si>
  <si>
    <t>Technology</t>
  </si>
  <si>
    <t>Student Testing &amp; Assessment</t>
  </si>
  <si>
    <t>Field Trips</t>
  </si>
  <si>
    <t>Transportation (student)</t>
  </si>
  <si>
    <t>Student Services - other</t>
  </si>
  <si>
    <t>Office Expense</t>
  </si>
  <si>
    <t>Staff Development</t>
  </si>
  <si>
    <t>Staff Recruitment</t>
  </si>
  <si>
    <t>Student Recruitment / Marketing</t>
  </si>
  <si>
    <t>School Meals / Lunch</t>
  </si>
  <si>
    <t>Travel (Staff)</t>
  </si>
  <si>
    <t>FACILITY OPERATION &amp; MAINTENANCE</t>
  </si>
  <si>
    <t>Insurance</t>
  </si>
  <si>
    <t>Building and Land Rent / Lease</t>
  </si>
  <si>
    <t xml:space="preserve">Repairs &amp; Maintenance </t>
  </si>
  <si>
    <t>Utilities</t>
  </si>
  <si>
    <t>DEPRECIATION &amp; AMORTIZATION</t>
  </si>
  <si>
    <t>TOTAL EXPENSES</t>
  </si>
  <si>
    <t>Cash Flow Adjustments</t>
  </si>
  <si>
    <t>Beginning Cash Balance</t>
  </si>
  <si>
    <t>January</t>
  </si>
  <si>
    <t>February</t>
  </si>
  <si>
    <t>March</t>
  </si>
  <si>
    <t>April</t>
  </si>
  <si>
    <t>May</t>
  </si>
  <si>
    <t>June</t>
  </si>
  <si>
    <t>July</t>
  </si>
  <si>
    <t>August</t>
  </si>
  <si>
    <t>September</t>
  </si>
  <si>
    <t>October</t>
  </si>
  <si>
    <t>November</t>
  </si>
  <si>
    <t>December</t>
  </si>
  <si>
    <t>PROJECTED BUDGET / OPERATING PLAN FOR INITIAL CHARTER PERIOD</t>
  </si>
  <si>
    <t>Year 1</t>
  </si>
  <si>
    <t>Year 2</t>
  </si>
  <si>
    <t>Year 3</t>
  </si>
  <si>
    <t>Year 4</t>
  </si>
  <si>
    <t>Year 5</t>
  </si>
  <si>
    <t>Number of FTE</t>
  </si>
  <si>
    <t>Yearly Raise %</t>
  </si>
  <si>
    <t>Special Education Students %</t>
  </si>
  <si>
    <t>English Language Learner Count (ELL)</t>
  </si>
  <si>
    <t>English Language Learner %</t>
  </si>
  <si>
    <t>Student Count Qualifying for Free or Reduced Lunch</t>
  </si>
  <si>
    <t>Free and Reduced Lunch Student %</t>
  </si>
  <si>
    <t>Student Count Qualifying for Reduced Lunch</t>
  </si>
  <si>
    <t>% Student Qualifying for Reduced Lunch</t>
  </si>
  <si>
    <t>Student Count Qualifying for Free Lunch</t>
  </si>
  <si>
    <t>% Student Qualifying for Free Lunch</t>
  </si>
  <si>
    <t>Average Daily Attendance (ADA)</t>
  </si>
  <si>
    <t>Average Daily Attendance %</t>
  </si>
  <si>
    <t>Average Daily Membership %</t>
  </si>
  <si>
    <t>Change in Net Enrollment from Prior Year</t>
  </si>
  <si>
    <t>Total High School Enrollment</t>
  </si>
  <si>
    <t>Total Middle School Enrollment</t>
  </si>
  <si>
    <t>Total Elementary Enrollment</t>
  </si>
  <si>
    <t>IDEA Funding</t>
  </si>
  <si>
    <t>Title III</t>
  </si>
  <si>
    <t>Title II</t>
  </si>
  <si>
    <t>State Unemployment</t>
  </si>
  <si>
    <t>Medicare</t>
  </si>
  <si>
    <t>Social Security</t>
  </si>
  <si>
    <t>Free Breakfast Reimbursement</t>
  </si>
  <si>
    <t>Reduced Breakfast Reimbursement</t>
  </si>
  <si>
    <t>Paid Breakfast Reimbursement</t>
  </si>
  <si>
    <t xml:space="preserve">Free Lunch Reimbursement </t>
  </si>
  <si>
    <t>Reduced Lunch Reimbursement</t>
  </si>
  <si>
    <t>Paid Lunch Reimbursement</t>
  </si>
  <si>
    <t>Snack Reimbursement</t>
  </si>
  <si>
    <t>CSP</t>
  </si>
  <si>
    <t>Average Daily Membership (ADM)</t>
  </si>
  <si>
    <t>Learning Assistance Program</t>
  </si>
  <si>
    <t>Transitional Bilingual</t>
  </si>
  <si>
    <t>Highly Capable</t>
  </si>
  <si>
    <t>Student Transportation</t>
  </si>
  <si>
    <t>Learning Assistance Program Count</t>
  </si>
  <si>
    <t>Transitional Bilingual Count</t>
  </si>
  <si>
    <t>Highly Capable Count</t>
  </si>
  <si>
    <t>Student Transportation Count</t>
  </si>
  <si>
    <t>Special Education Student Count (SPED)</t>
  </si>
  <si>
    <t>XYZ Charter School</t>
  </si>
  <si>
    <t>YEAR 1</t>
  </si>
  <si>
    <t>YEAR 2</t>
  </si>
  <si>
    <t>YEAR 3</t>
  </si>
  <si>
    <t>YEAR 4</t>
  </si>
  <si>
    <t>YEAR 5</t>
  </si>
  <si>
    <t>SUMMARY</t>
  </si>
  <si>
    <t>Description of Assumptions</t>
  </si>
  <si>
    <t>REVENUE AND EXPENSE ASSUMPTIONS</t>
  </si>
  <si>
    <t xml:space="preserve">Other - Non-Instructional </t>
  </si>
  <si>
    <t xml:space="preserve">Other - Instructional </t>
  </si>
  <si>
    <t>Other - Administrative</t>
  </si>
  <si>
    <t>Custom Contracted Services #1</t>
  </si>
  <si>
    <t>Custom Contracted Services #2</t>
  </si>
  <si>
    <t>Custom Contracted Services #3</t>
  </si>
  <si>
    <t>Custom Operations #1</t>
  </si>
  <si>
    <t>Custom Operations #2</t>
  </si>
  <si>
    <t>Custom Operations #3</t>
  </si>
  <si>
    <t>Custom Facilities Operations #1</t>
  </si>
  <si>
    <t>Custom Facilities Operations #2</t>
  </si>
  <si>
    <t>Custom Facilities Operations #3</t>
  </si>
  <si>
    <t>RESERVES / CONTIGENCY</t>
  </si>
  <si>
    <t>Revenue Per Pupil</t>
  </si>
  <si>
    <t>Expenses Per Pupil</t>
  </si>
  <si>
    <t>Security Services</t>
  </si>
  <si>
    <t>Janitorial Services</t>
  </si>
  <si>
    <t>TOTAL PERSONNEL EXPENSES</t>
  </si>
  <si>
    <t>TOTAL PERSONNEL, TAX &amp; BENEFIT EXPENSES</t>
  </si>
  <si>
    <t>NET OPERATING INCOME (before Depreciation)</t>
  </si>
  <si>
    <t>NET OPERATING INCOME (including Depreciation)</t>
  </si>
  <si>
    <t>Worker's Compensation Insurance</t>
  </si>
  <si>
    <t>Custom Other Tax #1</t>
  </si>
  <si>
    <t>Custom Other Tax #2</t>
  </si>
  <si>
    <t>Health Insurance</t>
  </si>
  <si>
    <t>Dental Insurance</t>
  </si>
  <si>
    <t>Vision Insurance</t>
  </si>
  <si>
    <t>Life Insurance</t>
  </si>
  <si>
    <t>Custom Fringe #1</t>
  </si>
  <si>
    <t>Custom Fringe #2</t>
  </si>
  <si>
    <t>Positions</t>
  </si>
  <si>
    <t>Salary Totals</t>
  </si>
  <si>
    <t>Starting 
Salary</t>
  </si>
  <si>
    <t>Position Category
(Categories Match Up to the Categories on the Five Year Budget)</t>
  </si>
  <si>
    <t>Position Description</t>
  </si>
  <si>
    <t>Retirement Contribution</t>
  </si>
  <si>
    <t>Enter Name Here</t>
  </si>
  <si>
    <t>Enter Email Here</t>
  </si>
  <si>
    <t>Enter Phone Number Here</t>
  </si>
  <si>
    <t>Enter the % increase below for which the amount entered in 
column F should increase each year.</t>
  </si>
  <si>
    <t>For each line item in the Payroll, Taxes &amp; Benefits section enter the 
% of Total Payroll that line item should represent.</t>
  </si>
  <si>
    <t>ENROLLMENT and STUDENT POPULATION</t>
  </si>
  <si>
    <t>Start-Up 
Period</t>
  </si>
  <si>
    <t>PROJECTED START-UP BUDGET / OPERATING PLAN 
FOR INITIAL CHARTER PERIOD</t>
  </si>
  <si>
    <t xml:space="preserve">PROJECTED START-UP BUDGET / OPERATING PLAN FOR INITIAL CHARTER PERIOD </t>
  </si>
  <si>
    <t>YEAR ONE PROJECTED BUDGET / OPERATING PLAN FOR INITIAL CHARTER PERIOD</t>
  </si>
  <si>
    <t>CHECK vs. Budget
(Must Be Zero)</t>
  </si>
  <si>
    <t>•</t>
  </si>
  <si>
    <t>School Info Tab</t>
  </si>
  <si>
    <t>Enrollment Tab</t>
  </si>
  <si>
    <t>Personnel Tab</t>
  </si>
  <si>
    <t>Assumptions Tab</t>
  </si>
  <si>
    <t>5 YR Budget Tab</t>
  </si>
  <si>
    <t>Start-Up Budget Tab</t>
  </si>
  <si>
    <t>Cash Flow Tab</t>
  </si>
  <si>
    <t>New Application Budget and Cash Flow 
Template Instructions</t>
  </si>
  <si>
    <t>Complete ALL SEVEN tabs in GREEN.</t>
  </si>
  <si>
    <t>Enter information into the GRAY cells ONLY.  All other cells are locked and should remain locked.</t>
  </si>
  <si>
    <t>Cells containing RED triangles in the upper right corner contain guidance on that particular line item.</t>
  </si>
  <si>
    <t>Lead Applicant Name:</t>
  </si>
  <si>
    <t>Year One:</t>
  </si>
  <si>
    <t>School Days:</t>
  </si>
  <si>
    <t>In the row 'Year One' select the fiscal year the school will be in it's first operational year.</t>
  </si>
  <si>
    <t>Enter in the Lead Applicant's name, email and phone number.</t>
  </si>
  <si>
    <t>ENROLLMENT</t>
  </si>
  <si>
    <t>STUDENT POPULATION</t>
  </si>
  <si>
    <t>Column C; Enter in the position title.</t>
  </si>
  <si>
    <t xml:space="preserve">Column E; Enter in the starting salary for that given position.  </t>
  </si>
  <si>
    <r>
      <t xml:space="preserve">Columns H-L; enter in the percentage increase </t>
    </r>
    <r>
      <rPr>
        <u/>
        <sz val="11"/>
        <rFont val="Calibri"/>
        <family val="2"/>
        <scheme val="minor"/>
      </rPr>
      <t>OR</t>
    </r>
    <r>
      <rPr>
        <sz val="11"/>
        <rFont val="Calibri"/>
        <family val="2"/>
        <scheme val="minor"/>
      </rPr>
      <t xml:space="preserve"> decrease that is anticipated for that particular line from year to year.  
</t>
    </r>
    <r>
      <rPr>
        <i/>
        <sz val="11"/>
        <rFont val="Calibri"/>
        <family val="2"/>
        <scheme val="minor"/>
      </rPr>
      <t xml:space="preserve">** PLEASE NOTE** - In the 'Payroll Taxes and Benefits' section; percentages entered will be that of total payroll for that particular year and NOT percentage of increase from year to year.  </t>
    </r>
  </si>
  <si>
    <t xml:space="preserve">Column D; Enter the revenues and expense the proposed school expects to receive and incur during the start-up period.  </t>
  </si>
  <si>
    <r>
      <rPr>
        <u/>
        <sz val="11"/>
        <rFont val="Calibri"/>
        <family val="2"/>
        <scheme val="minor"/>
      </rPr>
      <t>Enrollment Section</t>
    </r>
    <r>
      <rPr>
        <sz val="11"/>
        <rFont val="Calibri"/>
        <family val="2"/>
        <scheme val="minor"/>
      </rPr>
      <t>; Enter in cells D8 - M20 the anticipated enrollment for the proposed school by grade by year.  The first five years are mandatory as those enrollment assumptions will directly impact the five year budget/operational plan.</t>
    </r>
  </si>
  <si>
    <t>All 'Notes' and 'Descriptions of Assumptions' columns are editable.  Adding as much detail as possible in these columns is encouraged.</t>
  </si>
  <si>
    <t>In the row 'School Days' enter in the number of days the proposed school will be open for instruction.</t>
  </si>
  <si>
    <t xml:space="preserve">Under the Student Population section, certain designations, i.e. Average Daily Membership, contain comments in the cells where the line name exists.  These comments are provided for additional guidance.  </t>
  </si>
  <si>
    <r>
      <rPr>
        <u/>
        <sz val="11"/>
        <rFont val="Calibri"/>
        <family val="2"/>
        <scheme val="minor"/>
      </rPr>
      <t>Student Population Section</t>
    </r>
    <r>
      <rPr>
        <sz val="11"/>
        <rFont val="Calibri"/>
        <family val="2"/>
        <scheme val="minor"/>
      </rPr>
      <t xml:space="preserve">; Enter in cells D29 - M60 (gray only) the anticipated percentage of students for each population designation.  These percentages entered will automatically generate the number of students anticipated for that designation based on the total enrollment entered.  </t>
    </r>
  </si>
  <si>
    <t>Column F - J; Enter in the full-time equivalent (FTE) for that particular position for the given year.</t>
  </si>
  <si>
    <r>
      <t xml:space="preserve">Column D; Select from the drop down a category for which that position falls into.  Categories contained in the dropdown align with the '5 YR Budget', 'Start-Up Budget' and 'Cash Flow' tabs.  
</t>
    </r>
    <r>
      <rPr>
        <i/>
        <sz val="11"/>
        <rFont val="Calibri"/>
        <family val="2"/>
        <scheme val="minor"/>
      </rPr>
      <t>**PLEASE NOTE** - Before selecting a category be sure to select the '5 YR Budget' tab to see where each category falls under in terms of the Personnel section.</t>
    </r>
  </si>
  <si>
    <t xml:space="preserve">Cells N3 - R3; Enter in the anticipated percentage of salary increases for that given year.  The table below row 3 will automatically calculate given the percentage entered, FTE and starting salary indicated.  </t>
  </si>
  <si>
    <t>Nothing needs to be entered into this tab other than assumptions in the 'Descriptions of Assumptions' column, column J.  ALL revenues and expenses are automatically calculated based on the 'Enrollment', 'Personnel' and 'Assumptions' tabs.</t>
  </si>
  <si>
    <t>Columns D - J; Enter the revenues and expenses the proposed school anticipates receiving and incurring during the start-up phase in the corresponding months.  The amounts received and incurred, as a whole, should tie out to the figures entered into the 'Start-Up Budget' tab.  As a checks and balances, column K will compare the 'Start-Up Budget' tab versus the total column, column J, of the Cash Flow tab to ensure accuracy.</t>
  </si>
  <si>
    <r>
      <t xml:space="preserve">Columns N - Y; Enter the revenues and expenses the proposed school anticipates receiving and incurring during </t>
    </r>
    <r>
      <rPr>
        <b/>
        <u/>
        <sz val="11"/>
        <rFont val="Calibri"/>
        <family val="2"/>
        <scheme val="minor"/>
      </rPr>
      <t>YEAR 1</t>
    </r>
    <r>
      <rPr>
        <sz val="11"/>
        <rFont val="Calibri"/>
        <family val="2"/>
        <scheme val="minor"/>
      </rPr>
      <t xml:space="preserve"> in the corresponding months.  The amounts received and incurred, as a whole, should tie out to the figures calculated in the '5 YR Budget' tab, column D.  As a checks and balances, column AA will compare the '5 YR Budget' tab, Year 1, versus the total column, column Z, of the Cash Flow tab to ensure accuracy.</t>
    </r>
  </si>
  <si>
    <t xml:space="preserve">Column C; All line descriptions are locked and are to remain locked except those shaded gray and named 'Custom'.  Those lines can be edited by the applicant.  </t>
  </si>
  <si>
    <t xml:space="preserve">Equipment / Furniture   </t>
  </si>
  <si>
    <t>Ending Cash Balance</t>
  </si>
  <si>
    <t>PER STAFF</t>
  </si>
  <si>
    <t xml:space="preserve">Column E; Select either option 1, 2 or 3.  
Option 1; Will generate a total based on a per pupil basis.  For example, if an estimation of $100 per student is desired, select option 1 in column E for that particular line and in column F (shaded green) enter in $100.  If enrollment is 100 students then the total for that line will be $10,000 in Year 1.  
Option 2; Will generate a total based on a per staff basis.  For example, if an estimation of $1,000 per staff FTE is desired, select option 2 in column E for that particular line and in column F (shaded blue) enter in $1,000.  If the school's FTE count is 20 then the total for that line will be $20,000 in Year 1.
Option 3; Will generate a total based on the school.  For example, if the desired amount for that line is $25,000 for the year, select option 2 in column E for that particular line and in column F (shaded orange) enter in $25,000.  </t>
  </si>
  <si>
    <t>1000 - LOCAL TAXES</t>
  </si>
  <si>
    <t>1100 - Local Property Tax</t>
  </si>
  <si>
    <t>1900 - Other Local Taxes</t>
  </si>
  <si>
    <t>2000 - LOCAL SUPPORT - NON-TAX</t>
  </si>
  <si>
    <t xml:space="preserve">2200 - Sale Of Goods, Supplies, &amp; Services - Unassigned </t>
  </si>
  <si>
    <t xml:space="preserve">2500 - Gifts Grants, and Donations (Local)   </t>
  </si>
  <si>
    <t>3000 - STATE REVENUE - GENERAL PURPOSE</t>
  </si>
  <si>
    <t xml:space="preserve">3100 - Apportionment   </t>
  </si>
  <si>
    <t xml:space="preserve">3121 - Special Education - General Apportionment  </t>
  </si>
  <si>
    <t>4000 - STATE REVENUE - SPECIAL PURPOSE</t>
  </si>
  <si>
    <t xml:space="preserve">4121 - Special Education - State   </t>
  </si>
  <si>
    <t xml:space="preserve">4155 - Learning Assistance   </t>
  </si>
  <si>
    <t xml:space="preserve">4174 - Highly Capable      </t>
  </si>
  <si>
    <t>4199 - Transportation - Operations</t>
  </si>
  <si>
    <t>5000 - FEDERAL REVENUE - GENERAL PURPOSE</t>
  </si>
  <si>
    <t>6000 - FEDERAL REVENUE - SPECIAL PURPOSE</t>
  </si>
  <si>
    <t>7000 - OTHER SCHOOL DISTRICTS</t>
  </si>
  <si>
    <t>8000 - OTHER ENTITIES</t>
  </si>
  <si>
    <t>9000 - OTHER FINANCING SOURCES</t>
  </si>
  <si>
    <t xml:space="preserve">5200 - General Purpose Direct Fed. Grants - Unassigned  </t>
  </si>
  <si>
    <t xml:space="preserve">6100 - Special Purpose - OSPI Unassigned    </t>
  </si>
  <si>
    <t xml:space="preserve">6198 - School Food Services     </t>
  </si>
  <si>
    <t xml:space="preserve">7100 - Program Participation, Unassigned </t>
  </si>
  <si>
    <t xml:space="preserve">8100 - Governmental Entities      </t>
  </si>
  <si>
    <t xml:space="preserve">8200 - Private Foundations  </t>
  </si>
  <si>
    <t xml:space="preserve">9500 - Long-Term Financing      </t>
  </si>
  <si>
    <t>9900 - Transfers</t>
  </si>
  <si>
    <t xml:space="preserve">8500 - Educational Service Districts   </t>
  </si>
  <si>
    <t>4165 - Transitional Bilingual</t>
  </si>
  <si>
    <t>September + Subsequent Items</t>
  </si>
  <si>
    <t xml:space="preserve">4198 - School Food Service      </t>
  </si>
  <si>
    <t>Oversight Fee (3%)</t>
  </si>
  <si>
    <t>2019-20</t>
  </si>
  <si>
    <t>Calculates at 3% total revenue for lines 3100, 3121, 4121, 4155, 4165, 4174 &amp; 4199</t>
  </si>
  <si>
    <t>Calculates at 5% total enrollment multipied by per pupil amount entered in cell F42</t>
  </si>
  <si>
    <t>Calculates at total FRPL enrollment multipied by per pupil amount entered in cell F40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</si>
</sst>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
    <numFmt numFmtId="168" formatCode="mm/dd/yy"/>
    <numFmt numFmtId="169" formatCode="0_);[Red]\(0\)"/>
    <numFmt numFmtId="170" formatCode="#,##0.00;[Red]\(#,##0.00\)"/>
    <numFmt numFmtId="171" formatCode="_([$€-2]* #,##0.00_);_([$€-2]* \(#,##0.00\);_([$€-2]* &quot;-&quot;??_)"/>
    <numFmt numFmtId="172" formatCode="0_);\(0\)"/>
    <numFmt numFmtId="173" formatCode="_(* #,##0.00_);_(* \(#,##0.00\);_(* &quot;-&quot;_);_(@_)"/>
    <numFmt numFmtId="174" formatCode="0.0"/>
  </numFmts>
  <fonts count="99">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1"/>
      <name val="Calibri"/>
      <family val="2"/>
      <scheme val="minor"/>
    </font>
    <font>
      <sz val="10"/>
      <name val="Arial"/>
      <family val="2"/>
    </font>
    <font>
      <b/>
      <sz val="11"/>
      <name val="Calibri"/>
      <family val="2"/>
      <scheme val="minor"/>
    </font>
    <font>
      <b/>
      <sz val="11"/>
      <color indexed="8"/>
      <name val="Calibri"/>
      <family val="2"/>
    </font>
    <font>
      <sz val="11"/>
      <name val="Calibri"/>
      <family val="2"/>
    </font>
    <font>
      <sz val="11"/>
      <color indexed="10"/>
      <name val="Calibri"/>
      <family val="2"/>
    </font>
    <font>
      <b/>
      <sz val="11"/>
      <name val="Calibri"/>
      <family val="2"/>
    </font>
    <font>
      <sz val="11"/>
      <name val="Calibri"/>
      <family val="2"/>
      <scheme val="minor"/>
    </font>
    <font>
      <sz val="8"/>
      <color indexed="8"/>
      <name val="Arial"/>
      <family val="2"/>
    </font>
    <font>
      <sz val="11"/>
      <name val="Arial"/>
      <family val="2"/>
    </font>
    <font>
      <u/>
      <sz val="11"/>
      <color theme="10"/>
      <name val="Calibri"/>
      <family val="2"/>
      <scheme val="minor"/>
    </font>
    <font>
      <b/>
      <sz val="16"/>
      <color theme="1"/>
      <name val="Calibri"/>
      <family val="2"/>
      <scheme val="minor"/>
    </font>
    <font>
      <sz val="11"/>
      <color indexed="8"/>
      <name val="Calibri"/>
      <family val="2"/>
      <scheme val="minor"/>
    </font>
    <font>
      <b/>
      <sz val="12"/>
      <color indexed="8"/>
      <name val="Calibri"/>
      <family val="2"/>
      <scheme val="minor"/>
    </font>
    <font>
      <b/>
      <sz val="11"/>
      <color rgb="FFFF0000"/>
      <name val="Calibri"/>
      <family val="2"/>
    </font>
    <font>
      <b/>
      <u val="singleAccounting"/>
      <sz val="11"/>
      <color theme="1"/>
      <name val="Calibri"/>
      <family val="2"/>
      <scheme val="minor"/>
    </font>
    <font>
      <sz val="11"/>
      <color rgb="FFC00000"/>
      <name val="Calibri"/>
      <family val="2"/>
      <scheme val="minor"/>
    </font>
    <font>
      <b/>
      <sz val="11"/>
      <color rgb="FFC00000"/>
      <name val="Calibri"/>
      <family val="2"/>
      <scheme val="minor"/>
    </font>
    <font>
      <sz val="11"/>
      <color rgb="FFC00000"/>
      <name val="Calibri"/>
      <family val="2"/>
    </font>
    <font>
      <b/>
      <u/>
      <sz val="11"/>
      <name val="Calibri"/>
      <family val="2"/>
      <scheme val="minor"/>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0"/>
      <color indexed="9"/>
      <name val="Arial"/>
      <family val="2"/>
    </font>
    <font>
      <b/>
      <sz val="11"/>
      <color indexed="52"/>
      <name val="Calibri"/>
      <family val="2"/>
    </font>
    <font>
      <b/>
      <sz val="11"/>
      <color indexed="9"/>
      <name val="Calibri"/>
      <family val="2"/>
    </font>
    <font>
      <b/>
      <sz val="12"/>
      <name val="Arial"/>
      <family val="2"/>
    </font>
    <font>
      <b/>
      <sz val="8"/>
      <color indexed="9"/>
      <name val="Arial"/>
      <family val="2"/>
    </font>
    <font>
      <b/>
      <sz val="8"/>
      <color indexed="8"/>
      <name val="Arial"/>
      <family val="2"/>
    </font>
    <font>
      <b/>
      <sz val="8"/>
      <color indexed="8"/>
      <name val="Courier New"/>
      <family val="3"/>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b/>
      <sz val="12"/>
      <color indexed="9"/>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10"/>
      <color indexed="12"/>
      <name val="Arial"/>
      <family val="2"/>
    </font>
    <font>
      <u/>
      <sz val="11"/>
      <color theme="10"/>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b/>
      <sz val="10"/>
      <color indexed="8"/>
      <name val="Arial"/>
      <family val="2"/>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0"/>
      <name val="Verdana"/>
      <family val="2"/>
    </font>
    <font>
      <sz val="12"/>
      <name val="Arial"/>
      <family val="2"/>
    </font>
    <font>
      <b/>
      <sz val="11"/>
      <color indexed="52"/>
      <name val="Czcionka tekstu podstawowego"/>
      <family val="2"/>
      <charset val="238"/>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2"/>
      <color indexed="8"/>
      <name val="Arial"/>
      <family val="2"/>
    </font>
    <font>
      <sz val="8"/>
      <color indexed="12"/>
      <name val="Arial"/>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8"/>
      <color indexed="56"/>
      <name val="Cambria"/>
      <family val="2"/>
      <charset val="238"/>
    </font>
    <font>
      <sz val="8"/>
      <color indexed="8"/>
      <name val="Wingdings"/>
      <charset val="2"/>
    </font>
    <font>
      <sz val="11"/>
      <color indexed="20"/>
      <name val="Czcionka tekstu podstawowego"/>
      <family val="2"/>
      <charset val="238"/>
    </font>
    <font>
      <sz val="16"/>
      <name val="Calibri"/>
      <family val="2"/>
      <scheme val="minor"/>
    </font>
    <font>
      <b/>
      <sz val="20"/>
      <color theme="0"/>
      <name val="Calibri"/>
      <family val="2"/>
      <scheme val="minor"/>
    </font>
    <font>
      <sz val="8"/>
      <color indexed="81"/>
      <name val="Tahoma"/>
      <family val="2"/>
    </font>
    <font>
      <sz val="12"/>
      <color theme="1"/>
      <name val="Calibri"/>
      <family val="2"/>
      <scheme val="minor"/>
    </font>
    <font>
      <sz val="10"/>
      <name val="Calibri"/>
      <family val="2"/>
      <scheme val="minor"/>
    </font>
    <font>
      <b/>
      <sz val="18"/>
      <color theme="1"/>
      <name val="Calibri"/>
      <family val="2"/>
      <scheme val="minor"/>
    </font>
    <font>
      <b/>
      <sz val="12"/>
      <name val="Calibri"/>
      <family val="2"/>
      <scheme val="minor"/>
    </font>
    <font>
      <b/>
      <sz val="11"/>
      <color indexed="81"/>
      <name val="Calibri"/>
      <family val="2"/>
      <scheme val="minor"/>
    </font>
    <font>
      <sz val="11"/>
      <color indexed="81"/>
      <name val="Calibri"/>
      <family val="2"/>
      <scheme val="minor"/>
    </font>
    <font>
      <b/>
      <sz val="18"/>
      <color theme="0"/>
      <name val="Calibri"/>
      <family val="2"/>
      <scheme val="minor"/>
    </font>
    <font>
      <b/>
      <sz val="12"/>
      <color rgb="FFFFFF00"/>
      <name val="Calibri"/>
      <family val="2"/>
    </font>
    <font>
      <b/>
      <sz val="12"/>
      <color rgb="FFFFFF00"/>
      <name val="Calibri"/>
      <family val="2"/>
      <scheme val="minor"/>
    </font>
    <font>
      <b/>
      <sz val="18"/>
      <name val="Calibri"/>
      <family val="2"/>
      <scheme val="minor"/>
    </font>
    <font>
      <b/>
      <sz val="22"/>
      <name val="Calibri"/>
      <family val="2"/>
      <scheme val="minor"/>
    </font>
    <font>
      <b/>
      <sz val="24"/>
      <name val="Calibri"/>
      <family val="2"/>
      <scheme val="minor"/>
    </font>
    <font>
      <sz val="14"/>
      <name val="Calibri"/>
      <family val="2"/>
      <scheme val="minor"/>
    </font>
    <font>
      <b/>
      <u/>
      <sz val="14"/>
      <name val="Calibri"/>
      <family val="2"/>
      <scheme val="minor"/>
    </font>
    <font>
      <b/>
      <u/>
      <sz val="14"/>
      <color rgb="FF0000FF"/>
      <name val="Calibri"/>
      <family val="2"/>
      <scheme val="minor"/>
    </font>
    <font>
      <u/>
      <sz val="11"/>
      <name val="Calibri"/>
      <family val="2"/>
      <scheme val="minor"/>
    </font>
    <font>
      <sz val="9"/>
      <color indexed="81"/>
      <name val="Tahoma"/>
      <family val="2"/>
    </font>
    <font>
      <b/>
      <sz val="12"/>
      <color indexed="81"/>
      <name val="Calibri"/>
      <family val="2"/>
      <scheme val="minor"/>
    </font>
    <font>
      <i/>
      <sz val="11"/>
      <name val="Calibri"/>
      <family val="2"/>
      <scheme val="minor"/>
    </font>
    <font>
      <b/>
      <sz val="11"/>
      <color theme="0"/>
      <name val="Calibri"/>
      <family val="2"/>
      <scheme val="minor"/>
    </font>
    <font>
      <b/>
      <sz val="12"/>
      <color theme="0"/>
      <name val="Calibri"/>
      <family val="2"/>
      <scheme val="minor"/>
    </font>
    <font>
      <sz val="11"/>
      <color rgb="FF000000"/>
      <name val="Calibri"/>
      <family val="2"/>
    </font>
  </fonts>
  <fills count="6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indexed="65"/>
        <bgColor indexed="64"/>
      </patternFill>
    </fill>
    <fill>
      <patternFill patternType="solid">
        <fgColor theme="6" tint="0.59999389629810485"/>
        <bgColor indexed="64"/>
      </patternFill>
    </fill>
    <fill>
      <patternFill patternType="solid">
        <fgColor theme="1"/>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21"/>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38"/>
      </patternFill>
    </fill>
    <fill>
      <patternFill patternType="solid">
        <fgColor indexed="53"/>
      </patternFill>
    </fill>
    <fill>
      <patternFill patternType="solid">
        <fgColor indexed="53"/>
        <bgColor indexed="52"/>
      </patternFill>
    </fill>
    <fill>
      <patternFill patternType="solid">
        <fgColor indexed="10"/>
        <bgColor indexed="64"/>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2"/>
      </patternFill>
    </fill>
    <fill>
      <patternFill patternType="solid">
        <fgColor indexed="9"/>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rgb="FFFFFF99"/>
        <bgColor indexed="64"/>
      </patternFill>
    </fill>
    <fill>
      <patternFill patternType="solid">
        <fgColor theme="0"/>
        <bgColor indexed="64"/>
      </patternFill>
    </fill>
    <fill>
      <patternFill patternType="solid">
        <fgColor auto="1"/>
        <bgColor indexed="64"/>
      </patternFill>
    </fill>
    <fill>
      <patternFill patternType="solid">
        <fgColor theme="6" tint="0.39997558519241921"/>
        <bgColor indexed="64"/>
      </patternFill>
    </fill>
    <fill>
      <patternFill patternType="solid">
        <fgColor indexed="2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65"/>
        <bgColor auto="1"/>
      </patternFill>
    </fill>
    <fill>
      <patternFill patternType="solid">
        <fgColor rgb="FFFFFF99"/>
        <bgColor auto="1"/>
      </patternFill>
    </fill>
    <fill>
      <patternFill patternType="solid">
        <fgColor rgb="FFFFC000"/>
        <bgColor indexed="64"/>
      </patternFill>
    </fill>
    <fill>
      <patternFill patternType="solid">
        <fgColor rgb="FF333F4F"/>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right/>
      <top style="thin">
        <color auto="1"/>
      </top>
      <bottom style="double">
        <color auto="1"/>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auto="1"/>
      </right>
      <top/>
      <bottom style="thin">
        <color auto="1"/>
      </bottom>
      <diagonal/>
    </border>
    <border>
      <left style="thick">
        <color rgb="FFC00000"/>
      </left>
      <right/>
      <top style="thick">
        <color rgb="FFC00000"/>
      </top>
      <bottom/>
      <diagonal/>
    </border>
    <border>
      <left/>
      <right/>
      <top style="thick">
        <color rgb="FFC00000"/>
      </top>
      <bottom/>
      <diagonal/>
    </border>
    <border>
      <left style="thin">
        <color auto="1"/>
      </left>
      <right style="thin">
        <color auto="1"/>
      </right>
      <top style="thick">
        <color rgb="FFC00000"/>
      </top>
      <bottom style="thin">
        <color indexed="64"/>
      </bottom>
      <diagonal/>
    </border>
    <border>
      <left/>
      <right/>
      <top style="thick">
        <color rgb="FFC00000"/>
      </top>
      <bottom style="thin">
        <color auto="1"/>
      </bottom>
      <diagonal/>
    </border>
    <border>
      <left/>
      <right style="thick">
        <color rgb="FFC00000"/>
      </right>
      <top style="thick">
        <color rgb="FFC00000"/>
      </top>
      <bottom style="thin">
        <color auto="1"/>
      </bottom>
      <diagonal/>
    </border>
    <border>
      <left style="thick">
        <color rgb="FFC00000"/>
      </left>
      <right/>
      <top/>
      <bottom/>
      <diagonal/>
    </border>
    <border>
      <left/>
      <right style="thick">
        <color rgb="FFC00000"/>
      </right>
      <top style="thin">
        <color indexed="64"/>
      </top>
      <bottom/>
      <diagonal/>
    </border>
    <border>
      <left style="thick">
        <color rgb="FFC00000"/>
      </left>
      <right/>
      <top/>
      <bottom style="thick">
        <color rgb="FFC00000"/>
      </bottom>
      <diagonal/>
    </border>
    <border>
      <left/>
      <right/>
      <top/>
      <bottom style="thick">
        <color rgb="FFC00000"/>
      </bottom>
      <diagonal/>
    </border>
    <border>
      <left style="thin">
        <color indexed="64"/>
      </left>
      <right style="thin">
        <color indexed="64"/>
      </right>
      <top/>
      <bottom style="thick">
        <color rgb="FFC00000"/>
      </bottom>
      <diagonal/>
    </border>
    <border>
      <left/>
      <right style="thick">
        <color rgb="FFC00000"/>
      </right>
      <top/>
      <bottom style="thick">
        <color rgb="FFC00000"/>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auto="1"/>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style="thin">
        <color indexed="8"/>
      </top>
      <bottom style="double">
        <color indexed="8"/>
      </bottom>
      <diagonal/>
    </border>
    <border>
      <left style="thin">
        <color auto="1"/>
      </left>
      <right style="thin">
        <color auto="1"/>
      </right>
      <top style="thin">
        <color auto="1"/>
      </top>
      <bottom style="medium">
        <color rgb="FFC00000"/>
      </bottom>
      <diagonal/>
    </border>
    <border>
      <left style="medium">
        <color indexed="64"/>
      </left>
      <right/>
      <top style="double">
        <color indexed="64"/>
      </top>
      <bottom/>
      <diagonal/>
    </border>
    <border>
      <left/>
      <right/>
      <top style="double">
        <color indexed="64"/>
      </top>
      <bottom/>
      <diagonal/>
    </border>
    <border>
      <left/>
      <right style="medium">
        <color auto="1"/>
      </right>
      <top style="double">
        <color indexed="64"/>
      </top>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double">
        <color indexed="64"/>
      </top>
      <bottom/>
      <diagonal/>
    </border>
    <border>
      <left/>
      <right style="thin">
        <color auto="1"/>
      </right>
      <top style="double">
        <color indexed="64"/>
      </top>
      <bottom/>
      <diagonal/>
    </border>
    <border>
      <left/>
      <right/>
      <top style="thin">
        <color indexed="8"/>
      </top>
      <bottom style="double">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8"/>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indexed="8"/>
      </top>
      <bottom style="double">
        <color indexed="8"/>
      </bottom>
      <diagonal/>
    </border>
    <border>
      <left style="thin">
        <color auto="1"/>
      </left>
      <right style="thin">
        <color auto="1"/>
      </right>
      <top style="thin">
        <color auto="1"/>
      </top>
      <bottom style="thin">
        <color auto="1"/>
      </bottom>
      <diagonal/>
    </border>
    <border>
      <left style="thin">
        <color auto="1"/>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auto="1"/>
      </top>
      <bottom style="thin">
        <color indexed="64"/>
      </bottom>
      <diagonal/>
    </border>
    <border>
      <left style="thin">
        <color auto="1"/>
      </left>
      <right/>
      <top/>
      <bottom style="double">
        <color indexed="8"/>
      </bottom>
      <diagonal/>
    </border>
    <border>
      <left/>
      <right/>
      <top/>
      <bottom style="double">
        <color auto="1"/>
      </bottom>
      <diagonal/>
    </border>
    <border>
      <left style="thin">
        <color auto="1"/>
      </left>
      <right/>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40">
    <xf numFmtId="0" fontId="0" fillId="0" borderId="0"/>
    <xf numFmtId="9"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13"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6" fillId="27" borderId="0" applyNumberFormat="0" applyBorder="0" applyAlignment="0" applyProtection="0"/>
    <xf numFmtId="0" fontId="26" fillId="21"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6" fillId="4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167" fontId="28" fillId="43" borderId="0">
      <alignment vertical="center"/>
    </xf>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5"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29" fillId="44" borderId="6" applyNumberFormat="0" applyAlignment="0" applyProtection="0"/>
    <xf numFmtId="0" fontId="30" fillId="46" borderId="7" applyNumberFormat="0" applyAlignment="0" applyProtection="0"/>
    <xf numFmtId="0" fontId="30" fillId="47" borderId="7" applyNumberFormat="0" applyAlignment="0" applyProtection="0"/>
    <xf numFmtId="0" fontId="31" fillId="0" borderId="0">
      <alignment vertical="center"/>
    </xf>
    <xf numFmtId="0" fontId="28" fillId="48" borderId="0">
      <alignment horizontal="left"/>
    </xf>
    <xf numFmtId="0" fontId="32" fillId="48" borderId="0">
      <alignment horizontal="right"/>
    </xf>
    <xf numFmtId="0" fontId="33" fillId="49" borderId="0">
      <alignment horizontal="center"/>
    </xf>
    <xf numFmtId="0" fontId="32" fillId="48" borderId="0">
      <alignment horizontal="right"/>
    </xf>
    <xf numFmtId="0" fontId="34" fillId="49" borderId="0">
      <alignment horizontal="left"/>
    </xf>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0" fontId="36" fillId="44" borderId="8" applyNumberFormat="0" applyAlignment="0" applyProtection="0"/>
    <xf numFmtId="168" fontId="2" fillId="0" borderId="0" applyFont="0" applyFill="0" applyBorder="0" applyAlignment="0" applyProtection="0"/>
    <xf numFmtId="0" fontId="37" fillId="11" borderId="0" applyNumberFormat="0" applyBorder="0" applyAlignment="0" applyProtection="0"/>
    <xf numFmtId="0" fontId="38" fillId="0" borderId="0" applyNumberFormat="0" applyFill="0" applyBorder="0" applyAlignment="0" applyProtection="0"/>
    <xf numFmtId="0" fontId="39" fillId="43" borderId="0">
      <alignment horizontal="center" vertical="center"/>
    </xf>
    <xf numFmtId="169" fontId="2" fillId="0" borderId="0" applyFont="0" applyFill="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8"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7" fillId="17" borderId="6" applyNumberFormat="0" applyAlignment="0" applyProtection="0"/>
    <xf numFmtId="0" fontId="48" fillId="0" borderId="12" applyNumberFormat="0" applyFill="0" applyAlignment="0" applyProtection="0"/>
    <xf numFmtId="0" fontId="49" fillId="46" borderId="7" applyNumberFormat="0" applyAlignment="0" applyProtection="0"/>
    <xf numFmtId="0" fontId="28" fillId="48" borderId="0">
      <alignment horizontal="left"/>
    </xf>
    <xf numFmtId="0" fontId="50" fillId="49" borderId="0">
      <alignment horizontal="left"/>
    </xf>
    <xf numFmtId="0" fontId="51" fillId="0" borderId="12"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6" fillId="50" borderId="0" applyNumberFormat="0" applyBorder="0" applyAlignment="0" applyProtection="0"/>
    <xf numFmtId="0" fontId="2" fillId="0" borderId="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57" fillId="0" borderId="0"/>
    <xf numFmtId="0" fontId="3" fillId="0" borderId="0"/>
    <xf numFmtId="0" fontId="2" fillId="0" borderId="0"/>
    <xf numFmtId="0" fontId="3" fillId="0" borderId="0"/>
    <xf numFmtId="0" fontId="58"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2" fillId="53" borderId="13" applyNumberForma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1" fillId="52" borderId="13" applyNumberFormat="0" applyFon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59" fillId="44" borderId="6"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5"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0" fontId="60" fillId="44" borderId="8" applyNumberFormat="0" applyAlignment="0" applyProtection="0"/>
    <xf numFmtId="170" fontId="61" fillId="49" borderId="0">
      <alignment horizontal="right"/>
    </xf>
    <xf numFmtId="0" fontId="62" fillId="54" borderId="0">
      <alignment horizontal="center"/>
    </xf>
    <xf numFmtId="0" fontId="28" fillId="55" borderId="0"/>
    <xf numFmtId="0" fontId="63" fillId="49" borderId="0" applyBorder="0">
      <alignment horizontal="centerContinuous"/>
    </xf>
    <xf numFmtId="0" fontId="64" fillId="55" borderId="0" applyBorder="0">
      <alignment horizontal="centerContinuous"/>
    </xf>
    <xf numFmtId="9" fontId="2" fillId="0" borderId="0" applyFont="0" applyFill="0" applyBorder="0" applyAlignment="0" applyProtection="0"/>
    <xf numFmtId="9" fontId="3" fillId="0" borderId="0" applyFont="0" applyFill="0" applyBorder="0" applyAlignment="0" applyProtection="0"/>
    <xf numFmtId="0" fontId="50" fillId="50" borderId="0">
      <alignment horizontal="center"/>
    </xf>
    <xf numFmtId="49" fontId="65" fillId="49" borderId="0">
      <alignment horizontal="center"/>
    </xf>
    <xf numFmtId="0" fontId="32" fillId="48" borderId="0">
      <alignment horizontal="center"/>
    </xf>
    <xf numFmtId="0" fontId="32" fillId="48" borderId="0">
      <alignment horizontal="centerContinuous"/>
    </xf>
    <xf numFmtId="0" fontId="12" fillId="49" borderId="0">
      <alignment horizontal="left"/>
    </xf>
    <xf numFmtId="49" fontId="12" fillId="49" borderId="0">
      <alignment horizontal="center"/>
    </xf>
    <xf numFmtId="0" fontId="28" fillId="48" borderId="0">
      <alignment horizontal="left"/>
    </xf>
    <xf numFmtId="49" fontId="12" fillId="49" borderId="0">
      <alignment horizontal="left"/>
    </xf>
    <xf numFmtId="0" fontId="28" fillId="48" borderId="0">
      <alignment horizontal="centerContinuous"/>
    </xf>
    <xf numFmtId="0" fontId="28" fillId="48" borderId="0">
      <alignment horizontal="right"/>
    </xf>
    <xf numFmtId="49" fontId="50" fillId="49" borderId="0">
      <alignment horizontal="left"/>
    </xf>
    <xf numFmtId="0" fontId="32" fillId="48" borderId="0">
      <alignment horizontal="right"/>
    </xf>
    <xf numFmtId="0" fontId="12" fillId="17" borderId="0">
      <alignment horizontal="center"/>
    </xf>
    <xf numFmtId="0" fontId="66" fillId="17" borderId="0">
      <alignment horizontal="center"/>
    </xf>
    <xf numFmtId="0" fontId="39" fillId="43" borderId="0"/>
    <xf numFmtId="41" fontId="58" fillId="0" borderId="0">
      <alignment horizontal="right" vertical="center"/>
    </xf>
    <xf numFmtId="167" fontId="58" fillId="0" borderId="0">
      <alignment horizontal="left" vertical="center" indent="1"/>
    </xf>
    <xf numFmtId="0" fontId="61" fillId="0" borderId="0" applyNumberFormat="0" applyBorder="0" applyAlignment="0"/>
    <xf numFmtId="0" fontId="62" fillId="0" borderId="0" applyNumberFormat="0" applyBorder="0" applyAlignment="0"/>
    <xf numFmtId="0" fontId="62" fillId="0" borderId="0" applyNumberFormat="0" applyBorder="0" applyAlignment="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49" fontId="2" fillId="0" borderId="0" applyFont="0" applyFill="0" applyBorder="0" applyAlignment="0" applyProtection="0"/>
    <xf numFmtId="0" fontId="70" fillId="0" borderId="0" applyNumberFormat="0" applyFill="0" applyBorder="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1" fillId="0" borderId="0" applyNumberFormat="0" applyFill="0" applyBorder="0" applyAlignment="0" applyProtection="0"/>
    <xf numFmtId="0" fontId="72" fillId="49" borderId="0">
      <alignment horizontal="center"/>
    </xf>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2" fillId="52" borderId="13" applyNumberFormat="0" applyFont="0" applyAlignment="0" applyProtection="0"/>
    <xf numFmtId="0" fontId="9" fillId="0" borderId="0" applyNumberFormat="0" applyFill="0" applyBorder="0" applyAlignment="0" applyProtection="0"/>
    <xf numFmtId="0" fontId="73" fillId="9" borderId="0" applyNumberFormat="0" applyBorder="0" applyAlignment="0" applyProtection="0"/>
    <xf numFmtId="0" fontId="1" fillId="0" borderId="0"/>
    <xf numFmtId="43" fontId="57" fillId="0" borderId="0" applyFont="0" applyFill="0" applyBorder="0" applyAlignment="0" applyProtection="0"/>
    <xf numFmtId="9" fontId="57" fillId="0" borderId="0" applyFont="0" applyFill="0" applyBorder="0" applyAlignment="0" applyProtection="0"/>
    <xf numFmtId="44"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43" fontId="2" fillId="0" borderId="0" applyFont="0" applyFill="0" applyBorder="0" applyAlignment="0" applyProtection="0"/>
    <xf numFmtId="0" fontId="13" fillId="0" borderId="0"/>
    <xf numFmtId="9" fontId="13" fillId="0" borderId="0" applyFont="0" applyFill="0" applyBorder="0" applyAlignment="0" applyProtection="0"/>
    <xf numFmtId="0" fontId="77" fillId="0" borderId="0"/>
    <xf numFmtId="43" fontId="77" fillId="0" borderId="0" applyFont="0" applyFill="0" applyBorder="0" applyAlignment="0" applyProtection="0"/>
    <xf numFmtId="0" fontId="13" fillId="0" borderId="0"/>
    <xf numFmtId="0" fontId="2" fillId="0" borderId="0"/>
    <xf numFmtId="9" fontId="3" fillId="0" borderId="0" applyFont="0" applyFill="0" applyBorder="0" applyAlignment="0" applyProtection="0"/>
    <xf numFmtId="9" fontId="77" fillId="0" borderId="0" applyFont="0" applyFill="0" applyBorder="0" applyAlignment="0" applyProtection="0"/>
  </cellStyleXfs>
  <cellXfs count="411">
    <xf numFmtId="0" fontId="0" fillId="0" borderId="0" xfId="0"/>
    <xf numFmtId="43" fontId="0" fillId="2" borderId="1" xfId="0" applyNumberFormat="1" applyFont="1" applyFill="1" applyBorder="1" applyAlignment="1" applyProtection="1">
      <alignment horizontal="right" vertical="top"/>
      <protection locked="0"/>
    </xf>
    <xf numFmtId="166" fontId="11" fillId="2" borderId="16" xfId="0" applyNumberFormat="1" applyFont="1" applyFill="1" applyBorder="1" applyAlignment="1" applyProtection="1">
      <alignment vertical="top"/>
      <protection locked="0"/>
    </xf>
    <xf numFmtId="166" fontId="11" fillId="2" borderId="16" xfId="0" applyNumberFormat="1" applyFont="1" applyFill="1" applyBorder="1" applyAlignment="1" applyProtection="1">
      <alignment horizontal="right" vertical="top"/>
      <protection locked="0"/>
    </xf>
    <xf numFmtId="0" fontId="0" fillId="63" borderId="0" xfId="0" applyFill="1" applyProtection="1">
      <protection hidden="1"/>
    </xf>
    <xf numFmtId="0" fontId="0" fillId="63" borderId="0" xfId="0" applyFill="1" applyBorder="1" applyProtection="1">
      <protection hidden="1"/>
    </xf>
    <xf numFmtId="0" fontId="0" fillId="63" borderId="2" xfId="0" applyFill="1" applyBorder="1" applyProtection="1">
      <protection hidden="1"/>
    </xf>
    <xf numFmtId="43" fontId="4" fillId="63" borderId="66" xfId="0" applyNumberFormat="1" applyFont="1" applyFill="1" applyBorder="1" applyProtection="1">
      <protection hidden="1"/>
    </xf>
    <xf numFmtId="0" fontId="4" fillId="63" borderId="68" xfId="0" applyFont="1" applyFill="1" applyBorder="1" applyProtection="1">
      <protection hidden="1"/>
    </xf>
    <xf numFmtId="0" fontId="4" fillId="63" borderId="17" xfId="0" applyFont="1" applyFill="1" applyBorder="1" applyProtection="1">
      <protection hidden="1"/>
    </xf>
    <xf numFmtId="0" fontId="4" fillId="63" borderId="63" xfId="0" applyFont="1" applyFill="1" applyBorder="1" applyProtection="1">
      <protection hidden="1"/>
    </xf>
    <xf numFmtId="0" fontId="0" fillId="0" borderId="68" xfId="0" applyFill="1" applyBorder="1" applyProtection="1">
      <protection hidden="1"/>
    </xf>
    <xf numFmtId="0" fontId="0" fillId="63" borderId="17" xfId="0" applyFill="1" applyBorder="1" applyProtection="1">
      <protection hidden="1"/>
    </xf>
    <xf numFmtId="0" fontId="0" fillId="0" borderId="17" xfId="0" applyFill="1" applyBorder="1" applyProtection="1">
      <protection hidden="1"/>
    </xf>
    <xf numFmtId="9" fontId="0" fillId="0" borderId="66" xfId="0" applyNumberFormat="1" applyFont="1" applyFill="1" applyBorder="1" applyAlignment="1" applyProtection="1">
      <alignment horizontal="right"/>
      <protection hidden="1"/>
    </xf>
    <xf numFmtId="0" fontId="0" fillId="63" borderId="0" xfId="0" applyFont="1" applyFill="1" applyAlignment="1" applyProtection="1">
      <alignment vertical="top"/>
      <protection hidden="1"/>
    </xf>
    <xf numFmtId="0" fontId="14" fillId="63" borderId="0" xfId="90" applyFill="1" applyAlignment="1" applyProtection="1">
      <alignment vertical="top"/>
      <protection hidden="1"/>
    </xf>
    <xf numFmtId="41" fontId="20" fillId="63" borderId="0" xfId="0" applyNumberFormat="1" applyFont="1" applyFill="1" applyAlignment="1" applyProtection="1">
      <alignment vertical="top"/>
      <protection hidden="1"/>
    </xf>
    <xf numFmtId="0" fontId="15" fillId="63" borderId="0" xfId="0" applyFont="1" applyFill="1" applyAlignment="1" applyProtection="1">
      <alignment horizontal="center" vertical="top"/>
      <protection hidden="1"/>
    </xf>
    <xf numFmtId="1" fontId="8" fillId="63" borderId="0" xfId="0" applyNumberFormat="1" applyFont="1" applyFill="1" applyAlignment="1" applyProtection="1">
      <alignment horizontal="center" vertical="top"/>
      <protection hidden="1"/>
    </xf>
    <xf numFmtId="0" fontId="8" fillId="63" borderId="0" xfId="0" applyFont="1" applyFill="1" applyAlignment="1" applyProtection="1">
      <alignment horizontal="center" vertical="top"/>
      <protection hidden="1"/>
    </xf>
    <xf numFmtId="0" fontId="15" fillId="63" borderId="0" xfId="0" applyFont="1" applyFill="1" applyAlignment="1" applyProtection="1">
      <alignment vertical="top"/>
      <protection hidden="1"/>
    </xf>
    <xf numFmtId="0" fontId="0" fillId="63" borderId="0" xfId="0" applyFont="1" applyFill="1" applyBorder="1" applyAlignment="1" applyProtection="1">
      <alignment vertical="top"/>
      <protection hidden="1"/>
    </xf>
    <xf numFmtId="0" fontId="11" fillId="63" borderId="68" xfId="0" applyFont="1" applyFill="1" applyBorder="1" applyAlignment="1" applyProtection="1">
      <alignment horizontal="left" vertical="top"/>
      <protection hidden="1"/>
    </xf>
    <xf numFmtId="0" fontId="11" fillId="63" borderId="17" xfId="0" applyFont="1" applyFill="1" applyBorder="1" applyAlignment="1" applyProtection="1">
      <alignment horizontal="left" vertical="top"/>
      <protection hidden="1"/>
    </xf>
    <xf numFmtId="41" fontId="20" fillId="63" borderId="0" xfId="0" applyNumberFormat="1" applyFont="1" applyFill="1" applyBorder="1" applyAlignment="1" applyProtection="1">
      <alignment vertical="top"/>
      <protection hidden="1"/>
    </xf>
    <xf numFmtId="172" fontId="20" fillId="64" borderId="67" xfId="0" applyNumberFormat="1" applyFont="1" applyFill="1" applyBorder="1" applyAlignment="1" applyProtection="1">
      <alignment horizontal="right" vertical="top"/>
      <protection hidden="1"/>
    </xf>
    <xf numFmtId="172" fontId="20" fillId="63" borderId="65" xfId="0" applyNumberFormat="1" applyFont="1" applyFill="1" applyBorder="1" applyAlignment="1" applyProtection="1">
      <alignment horizontal="right" vertical="top"/>
      <protection hidden="1"/>
    </xf>
    <xf numFmtId="0" fontId="11" fillId="63" borderId="63" xfId="0" applyFont="1" applyFill="1" applyBorder="1" applyAlignment="1" applyProtection="1">
      <alignment horizontal="left" vertical="top"/>
      <protection hidden="1"/>
    </xf>
    <xf numFmtId="43" fontId="0" fillId="63" borderId="0" xfId="0" applyNumberFormat="1" applyFill="1" applyBorder="1" applyProtection="1">
      <protection hidden="1"/>
    </xf>
    <xf numFmtId="0" fontId="0" fillId="63" borderId="17" xfId="0" applyFont="1" applyFill="1" applyBorder="1" applyAlignment="1" applyProtection="1">
      <alignment vertical="top"/>
      <protection hidden="1"/>
    </xf>
    <xf numFmtId="0" fontId="0" fillId="63" borderId="2" xfId="0" applyFont="1" applyFill="1" applyBorder="1" applyAlignment="1" applyProtection="1">
      <alignment vertical="top"/>
      <protection hidden="1"/>
    </xf>
    <xf numFmtId="0" fontId="74" fillId="63" borderId="0" xfId="0" applyFont="1" applyFill="1" applyAlignment="1" applyProtection="1">
      <alignment horizontal="center" vertical="center"/>
      <protection hidden="1"/>
    </xf>
    <xf numFmtId="0" fontId="20" fillId="63" borderId="78" xfId="6" applyFont="1" applyFill="1" applyBorder="1" applyProtection="1">
      <protection hidden="1"/>
    </xf>
    <xf numFmtId="41" fontId="20" fillId="63" borderId="79" xfId="0" applyNumberFormat="1" applyFont="1" applyFill="1" applyBorder="1" applyAlignment="1" applyProtection="1">
      <alignment horizontal="right" vertical="top"/>
      <protection hidden="1"/>
    </xf>
    <xf numFmtId="41" fontId="20" fillId="63" borderId="80" xfId="0" applyNumberFormat="1" applyFont="1" applyFill="1" applyBorder="1" applyAlignment="1" applyProtection="1">
      <alignment horizontal="right" vertical="top"/>
      <protection hidden="1"/>
    </xf>
    <xf numFmtId="41" fontId="20" fillId="63" borderId="81" xfId="0" applyNumberFormat="1" applyFont="1" applyFill="1" applyBorder="1" applyAlignment="1" applyProtection="1">
      <alignment horizontal="right" vertical="top"/>
      <protection hidden="1"/>
    </xf>
    <xf numFmtId="41" fontId="20" fillId="63" borderId="82" xfId="0" applyNumberFormat="1" applyFont="1" applyFill="1" applyBorder="1" applyAlignment="1" applyProtection="1">
      <alignment horizontal="right" vertical="top"/>
      <protection hidden="1"/>
    </xf>
    <xf numFmtId="0" fontId="20" fillId="63" borderId="83" xfId="6" applyFont="1" applyFill="1" applyBorder="1" applyProtection="1">
      <protection hidden="1"/>
    </xf>
    <xf numFmtId="172" fontId="20" fillId="63" borderId="84" xfId="0" applyNumberFormat="1" applyFont="1" applyFill="1" applyBorder="1" applyAlignment="1" applyProtection="1">
      <alignment horizontal="right" vertical="top"/>
      <protection hidden="1"/>
    </xf>
    <xf numFmtId="0" fontId="20" fillId="63" borderId="85" xfId="6" applyFont="1" applyFill="1" applyBorder="1" applyProtection="1">
      <protection hidden="1"/>
    </xf>
    <xf numFmtId="41" fontId="20" fillId="63" borderId="86" xfId="0" applyNumberFormat="1" applyFont="1" applyFill="1" applyBorder="1" applyAlignment="1" applyProtection="1">
      <alignment vertical="top"/>
      <protection hidden="1"/>
    </xf>
    <xf numFmtId="172" fontId="20" fillId="63" borderId="87" xfId="0" applyNumberFormat="1" applyFont="1" applyFill="1" applyBorder="1" applyAlignment="1" applyProtection="1">
      <alignment horizontal="right" vertical="top"/>
      <protection hidden="1"/>
    </xf>
    <xf numFmtId="172" fontId="20" fillId="63" borderId="86" xfId="0" applyNumberFormat="1" applyFont="1" applyFill="1" applyBorder="1" applyAlignment="1" applyProtection="1">
      <alignment horizontal="right" vertical="top"/>
      <protection hidden="1"/>
    </xf>
    <xf numFmtId="172" fontId="20" fillId="63" borderId="88" xfId="0" applyNumberFormat="1" applyFont="1" applyFill="1" applyBorder="1" applyAlignment="1" applyProtection="1">
      <alignment horizontal="right" vertical="top"/>
      <protection hidden="1"/>
    </xf>
    <xf numFmtId="1" fontId="4" fillId="4" borderId="0" xfId="0" applyNumberFormat="1" applyFont="1" applyFill="1" applyBorder="1" applyProtection="1">
      <protection hidden="1"/>
    </xf>
    <xf numFmtId="1" fontId="4" fillId="4" borderId="2" xfId="0" applyNumberFormat="1" applyFont="1" applyFill="1" applyBorder="1" applyProtection="1">
      <protection hidden="1"/>
    </xf>
    <xf numFmtId="2" fontId="4" fillId="0" borderId="66" xfId="0" applyNumberFormat="1" applyFont="1" applyFill="1" applyBorder="1" applyProtection="1">
      <protection hidden="1"/>
    </xf>
    <xf numFmtId="2" fontId="4" fillId="63" borderId="66" xfId="0" applyNumberFormat="1" applyFont="1" applyFill="1" applyBorder="1" applyProtection="1">
      <protection hidden="1"/>
    </xf>
    <xf numFmtId="2" fontId="0" fillId="0" borderId="66" xfId="0" applyNumberFormat="1" applyFill="1" applyBorder="1" applyProtection="1">
      <protection hidden="1"/>
    </xf>
    <xf numFmtId="43" fontId="0" fillId="2" borderId="90" xfId="0" applyNumberFormat="1" applyFont="1" applyFill="1" applyBorder="1" applyAlignment="1" applyProtection="1">
      <alignment vertical="top"/>
      <protection locked="0"/>
    </xf>
    <xf numFmtId="10" fontId="11" fillId="2" borderId="90" xfId="1" applyNumberFormat="1" applyFont="1" applyFill="1" applyBorder="1" applyAlignment="1" applyProtection="1">
      <alignment horizontal="right" vertical="top"/>
      <protection locked="0"/>
    </xf>
    <xf numFmtId="0" fontId="11" fillId="4" borderId="0" xfId="6" applyFont="1" applyFill="1" applyProtection="1">
      <protection hidden="1"/>
    </xf>
    <xf numFmtId="41" fontId="11" fillId="4" borderId="0" xfId="6" applyNumberFormat="1" applyFont="1" applyFill="1" applyAlignment="1" applyProtection="1">
      <alignment horizontal="right"/>
      <protection hidden="1"/>
    </xf>
    <xf numFmtId="0" fontId="20" fillId="4" borderId="0" xfId="6" applyFont="1" applyFill="1" applyProtection="1">
      <protection hidden="1"/>
    </xf>
    <xf numFmtId="41" fontId="3" fillId="4" borderId="0" xfId="0" applyNumberFormat="1" applyFont="1" applyFill="1" applyAlignment="1" applyProtection="1">
      <alignment horizontal="right"/>
      <protection hidden="1"/>
    </xf>
    <xf numFmtId="0" fontId="17" fillId="0" borderId="0" xfId="0" applyFont="1" applyFill="1" applyAlignment="1" applyProtection="1">
      <alignment horizontal="right" vertical="top"/>
      <protection hidden="1"/>
    </xf>
    <xf numFmtId="41" fontId="11" fillId="4" borderId="0" xfId="6" applyNumberFormat="1" applyFont="1" applyFill="1" applyAlignment="1" applyProtection="1">
      <alignment horizontal="right" vertical="top"/>
      <protection hidden="1"/>
    </xf>
    <xf numFmtId="41" fontId="11" fillId="4" borderId="0" xfId="6" applyNumberFormat="1" applyFont="1" applyFill="1" applyBorder="1" applyAlignment="1" applyProtection="1">
      <alignment horizontal="right" vertical="top"/>
      <protection hidden="1"/>
    </xf>
    <xf numFmtId="41" fontId="11" fillId="4" borderId="65" xfId="6" applyNumberFormat="1" applyFont="1" applyFill="1" applyBorder="1" applyAlignment="1" applyProtection="1">
      <alignment horizontal="right"/>
      <protection hidden="1"/>
    </xf>
    <xf numFmtId="41" fontId="11" fillId="4" borderId="65" xfId="6" applyNumberFormat="1" applyFont="1" applyFill="1" applyBorder="1" applyAlignment="1" applyProtection="1">
      <alignment horizontal="right" vertical="top"/>
      <protection hidden="1"/>
    </xf>
    <xf numFmtId="41" fontId="11" fillId="4" borderId="72" xfId="6" applyNumberFormat="1" applyFont="1" applyFill="1" applyBorder="1" applyAlignment="1" applyProtection="1">
      <alignment horizontal="right" vertical="top"/>
      <protection hidden="1"/>
    </xf>
    <xf numFmtId="41" fontId="20" fillId="4" borderId="0" xfId="6" applyNumberFormat="1" applyFont="1" applyFill="1" applyAlignment="1" applyProtection="1">
      <alignment horizontal="right"/>
      <protection hidden="1"/>
    </xf>
    <xf numFmtId="0" fontId="80" fillId="4" borderId="17" xfId="6" applyFont="1" applyFill="1" applyBorder="1" applyAlignment="1" applyProtection="1">
      <alignment horizontal="left" vertical="top"/>
      <protection hidden="1"/>
    </xf>
    <xf numFmtId="41" fontId="11" fillId="4" borderId="0" xfId="6" applyNumberFormat="1" applyFont="1" applyFill="1" applyBorder="1" applyAlignment="1" applyProtection="1">
      <alignment horizontal="right"/>
      <protection hidden="1"/>
    </xf>
    <xf numFmtId="41" fontId="11" fillId="4" borderId="66" xfId="6" applyNumberFormat="1" applyFont="1" applyFill="1" applyBorder="1" applyAlignment="1" applyProtection="1">
      <alignment horizontal="right" vertical="top" wrapText="1"/>
      <protection hidden="1"/>
    </xf>
    <xf numFmtId="173" fontId="3" fillId="4" borderId="0" xfId="0" applyNumberFormat="1" applyFont="1" applyFill="1" applyAlignment="1" applyProtection="1">
      <alignment horizontal="right"/>
      <protection hidden="1"/>
    </xf>
    <xf numFmtId="41" fontId="11" fillId="0" borderId="66" xfId="6" applyNumberFormat="1" applyFont="1" applyFill="1" applyBorder="1" applyAlignment="1" applyProtection="1">
      <alignment horizontal="right" vertical="top" wrapText="1"/>
      <protection hidden="1"/>
    </xf>
    <xf numFmtId="41" fontId="11" fillId="0" borderId="90" xfId="6" applyNumberFormat="1" applyFont="1" applyFill="1" applyBorder="1" applyAlignment="1" applyProtection="1">
      <alignment horizontal="right" vertical="top" wrapText="1"/>
      <protection hidden="1"/>
    </xf>
    <xf numFmtId="166" fontId="11" fillId="0" borderId="90" xfId="6" applyNumberFormat="1" applyFont="1" applyFill="1" applyBorder="1" applyAlignment="1" applyProtection="1">
      <alignment horizontal="right" vertical="top" wrapText="1"/>
      <protection hidden="1"/>
    </xf>
    <xf numFmtId="0" fontId="80" fillId="4" borderId="32" xfId="6" applyFont="1" applyFill="1" applyBorder="1" applyAlignment="1" applyProtection="1">
      <alignment horizontal="left" vertical="top"/>
      <protection hidden="1"/>
    </xf>
    <xf numFmtId="41" fontId="11" fillId="4" borderId="18" xfId="6" applyNumberFormat="1" applyFont="1" applyFill="1" applyBorder="1" applyAlignment="1" applyProtection="1">
      <alignment horizontal="right"/>
      <protection hidden="1"/>
    </xf>
    <xf numFmtId="0" fontId="6" fillId="4" borderId="0" xfId="6" applyFont="1" applyFill="1" applyAlignment="1" applyProtection="1">
      <alignment horizontal="right" vertical="top"/>
      <protection hidden="1"/>
    </xf>
    <xf numFmtId="41" fontId="11" fillId="4" borderId="68" xfId="6" applyNumberFormat="1" applyFont="1" applyFill="1" applyBorder="1" applyAlignment="1" applyProtection="1">
      <alignment horizontal="right" vertical="top"/>
      <protection hidden="1"/>
    </xf>
    <xf numFmtId="41" fontId="11" fillId="4" borderId="63" xfId="6" applyNumberFormat="1" applyFont="1" applyFill="1" applyBorder="1" applyAlignment="1" applyProtection="1">
      <alignment horizontal="right" vertical="top"/>
      <protection hidden="1"/>
    </xf>
    <xf numFmtId="41" fontId="11" fillId="4" borderId="18" xfId="6" applyNumberFormat="1" applyFont="1" applyFill="1" applyBorder="1" applyAlignment="1" applyProtection="1">
      <alignment horizontal="right" vertical="top"/>
      <protection hidden="1"/>
    </xf>
    <xf numFmtId="41" fontId="11" fillId="4" borderId="77" xfId="6" applyNumberFormat="1" applyFont="1" applyFill="1" applyBorder="1" applyAlignment="1" applyProtection="1">
      <alignment horizontal="right" vertical="top"/>
      <protection hidden="1"/>
    </xf>
    <xf numFmtId="0" fontId="11" fillId="4" borderId="0" xfId="6" applyFont="1" applyFill="1" applyAlignment="1" applyProtection="1">
      <alignment wrapText="1"/>
      <protection hidden="1"/>
    </xf>
    <xf numFmtId="0" fontId="11" fillId="4" borderId="0" xfId="6" applyFont="1" applyFill="1" applyAlignment="1" applyProtection="1">
      <protection hidden="1"/>
    </xf>
    <xf numFmtId="41" fontId="11" fillId="4" borderId="0" xfId="6" applyNumberFormat="1" applyFont="1" applyFill="1" applyAlignment="1" applyProtection="1">
      <alignment horizontal="center" vertical="top"/>
      <protection hidden="1"/>
    </xf>
    <xf numFmtId="41" fontId="11" fillId="4" borderId="0" xfId="6" applyNumberFormat="1" applyFont="1" applyFill="1" applyAlignment="1" applyProtection="1">
      <protection hidden="1"/>
    </xf>
    <xf numFmtId="0" fontId="6" fillId="4" borderId="0" xfId="6" applyFont="1" applyFill="1" applyAlignment="1" applyProtection="1">
      <alignment horizontal="left" vertical="top" wrapText="1"/>
      <protection hidden="1"/>
    </xf>
    <xf numFmtId="41" fontId="6" fillId="4" borderId="0" xfId="6" applyNumberFormat="1" applyFont="1" applyFill="1" applyAlignment="1" applyProtection="1">
      <alignment horizontal="center" vertical="top"/>
      <protection hidden="1"/>
    </xf>
    <xf numFmtId="0" fontId="11" fillId="4" borderId="0" xfId="6" applyFont="1" applyFill="1" applyAlignment="1" applyProtection="1">
      <alignment horizontal="left" vertical="top" wrapText="1" indent="2"/>
      <protection hidden="1"/>
    </xf>
    <xf numFmtId="41" fontId="11" fillId="4" borderId="0" xfId="6" applyNumberFormat="1" applyFont="1" applyFill="1" applyAlignment="1" applyProtection="1">
      <alignment vertical="top"/>
      <protection hidden="1"/>
    </xf>
    <xf numFmtId="43" fontId="11" fillId="4" borderId="0" xfId="6" applyNumberFormat="1" applyFont="1" applyFill="1" applyProtection="1">
      <protection hidden="1"/>
    </xf>
    <xf numFmtId="41" fontId="11" fillId="4" borderId="0" xfId="6" applyNumberFormat="1" applyFont="1" applyFill="1" applyProtection="1">
      <protection hidden="1"/>
    </xf>
    <xf numFmtId="42" fontId="6" fillId="4" borderId="5"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wrapText="1"/>
      <protection hidden="1"/>
    </xf>
    <xf numFmtId="41" fontId="11" fillId="4" borderId="0" xfId="6" applyNumberFormat="1" applyFont="1" applyFill="1" applyAlignment="1" applyProtection="1">
      <alignment vertical="top" wrapText="1"/>
      <protection hidden="1"/>
    </xf>
    <xf numFmtId="0" fontId="11" fillId="4" borderId="0" xfId="6" applyFont="1" applyFill="1" applyAlignment="1" applyProtection="1">
      <alignment horizontal="left" vertical="top" wrapText="1"/>
      <protection hidden="1"/>
    </xf>
    <xf numFmtId="42" fontId="6" fillId="4" borderId="103" xfId="6" applyNumberFormat="1" applyFont="1" applyFill="1" applyBorder="1" applyAlignment="1" applyProtection="1">
      <alignment horizontal="right" vertical="top"/>
      <protection hidden="1"/>
    </xf>
    <xf numFmtId="0" fontId="11" fillId="4" borderId="0" xfId="6" applyFont="1" applyFill="1" applyAlignment="1" applyProtection="1">
      <alignment horizontal="left" vertical="top"/>
      <protection hidden="1"/>
    </xf>
    <xf numFmtId="41" fontId="11" fillId="0" borderId="0" xfId="6" applyNumberFormat="1" applyFont="1" applyFill="1" applyAlignment="1" applyProtection="1">
      <alignment vertical="top" wrapText="1"/>
      <protection hidden="1"/>
    </xf>
    <xf numFmtId="0" fontId="16" fillId="4" borderId="0" xfId="1062" applyFont="1" applyFill="1" applyBorder="1" applyAlignment="1" applyProtection="1">
      <alignment horizontal="left" vertical="top" indent="2"/>
      <protection hidden="1"/>
    </xf>
    <xf numFmtId="42" fontId="6" fillId="4" borderId="94" xfId="6" applyNumberFormat="1" applyFont="1" applyFill="1" applyBorder="1" applyAlignment="1" applyProtection="1">
      <alignment horizontal="right" vertical="top"/>
      <protection hidden="1"/>
    </xf>
    <xf numFmtId="42" fontId="6" fillId="4" borderId="0" xfId="6" applyNumberFormat="1" applyFont="1" applyFill="1" applyBorder="1" applyAlignment="1" applyProtection="1">
      <alignment horizontal="right" vertical="top"/>
      <protection hidden="1"/>
    </xf>
    <xf numFmtId="41" fontId="11" fillId="58" borderId="0" xfId="6" applyNumberFormat="1" applyFont="1" applyFill="1" applyAlignment="1" applyProtection="1">
      <alignment horizontal="right"/>
      <protection hidden="1"/>
    </xf>
    <xf numFmtId="41" fontId="11" fillId="4" borderId="0" xfId="6" applyNumberFormat="1" applyFont="1" applyFill="1" applyBorder="1" applyAlignment="1" applyProtection="1">
      <alignment vertical="top"/>
      <protection hidden="1"/>
    </xf>
    <xf numFmtId="41" fontId="11" fillId="4" borderId="107" xfId="6" applyNumberFormat="1" applyFont="1" applyFill="1" applyBorder="1" applyAlignment="1" applyProtection="1">
      <alignment vertical="top"/>
      <protection hidden="1"/>
    </xf>
    <xf numFmtId="42" fontId="6" fillId="4" borderId="106" xfId="6" applyNumberFormat="1" applyFont="1" applyFill="1" applyBorder="1" applyAlignment="1" applyProtection="1">
      <alignment horizontal="right" vertical="top"/>
      <protection hidden="1"/>
    </xf>
    <xf numFmtId="42" fontId="6" fillId="4" borderId="31" xfId="6" applyNumberFormat="1" applyFont="1" applyFill="1" applyBorder="1" applyAlignment="1" applyProtection="1">
      <alignment horizontal="right" vertical="top"/>
      <protection hidden="1"/>
    </xf>
    <xf numFmtId="0" fontId="11" fillId="4" borderId="0" xfId="2432" applyFont="1" applyFill="1" applyAlignment="1" applyProtection="1">
      <alignment vertical="top"/>
      <protection hidden="1"/>
    </xf>
    <xf numFmtId="0" fontId="11" fillId="4" borderId="19" xfId="2432" applyFont="1" applyFill="1" applyBorder="1" applyAlignment="1" applyProtection="1">
      <alignment vertical="top"/>
      <protection hidden="1"/>
    </xf>
    <xf numFmtId="0" fontId="6" fillId="4" borderId="40" xfId="2432" applyFont="1" applyFill="1" applyBorder="1" applyAlignment="1" applyProtection="1">
      <alignment horizontal="center" vertical="top" wrapText="1"/>
      <protection hidden="1"/>
    </xf>
    <xf numFmtId="0" fontId="6" fillId="4" borderId="3" xfId="2432" applyFont="1" applyFill="1" applyBorder="1" applyAlignment="1" applyProtection="1">
      <alignment horizontal="center" vertical="top" wrapText="1"/>
      <protection hidden="1"/>
    </xf>
    <xf numFmtId="0" fontId="6" fillId="4" borderId="33" xfId="2432" applyFont="1" applyFill="1" applyBorder="1" applyAlignment="1" applyProtection="1">
      <alignment horizontal="center" vertical="top" wrapText="1"/>
      <protection hidden="1"/>
    </xf>
    <xf numFmtId="0" fontId="6" fillId="4" borderId="4" xfId="2432" applyFont="1" applyFill="1" applyBorder="1" applyAlignment="1" applyProtection="1">
      <alignment horizontal="center" vertical="top" wrapText="1"/>
      <protection hidden="1"/>
    </xf>
    <xf numFmtId="0" fontId="6" fillId="4" borderId="19" xfId="2432" applyFont="1" applyFill="1" applyBorder="1" applyAlignment="1" applyProtection="1">
      <alignment horizontal="center" vertical="top" wrapText="1"/>
      <protection hidden="1"/>
    </xf>
    <xf numFmtId="0" fontId="6" fillId="4" borderId="17" xfId="2432" applyFont="1" applyFill="1" applyBorder="1" applyAlignment="1" applyProtection="1">
      <alignment horizontal="center" vertical="top" wrapText="1"/>
      <protection hidden="1"/>
    </xf>
    <xf numFmtId="0" fontId="6" fillId="4" borderId="42" xfId="2432" applyFont="1" applyFill="1" applyBorder="1" applyAlignment="1" applyProtection="1">
      <alignment horizontal="center" vertical="top" wrapText="1"/>
      <protection hidden="1"/>
    </xf>
    <xf numFmtId="0" fontId="6" fillId="4" borderId="43" xfId="2432" applyFont="1" applyFill="1" applyBorder="1" applyAlignment="1" applyProtection="1">
      <alignment horizontal="center" vertical="top" wrapText="1"/>
      <protection hidden="1"/>
    </xf>
    <xf numFmtId="0" fontId="6" fillId="4" borderId="44" xfId="2432" applyFont="1" applyFill="1" applyBorder="1" applyAlignment="1" applyProtection="1">
      <alignment horizontal="center" vertical="top" wrapText="1"/>
      <protection hidden="1"/>
    </xf>
    <xf numFmtId="1" fontId="11" fillId="4" borderId="101" xfId="2432" quotePrefix="1" applyNumberFormat="1" applyFont="1" applyFill="1" applyBorder="1" applyAlignment="1" applyProtection="1">
      <alignment horizontal="center" vertical="top" wrapText="1"/>
      <protection hidden="1"/>
    </xf>
    <xf numFmtId="1" fontId="11" fillId="4" borderId="97" xfId="2432" quotePrefix="1" applyNumberFormat="1" applyFont="1" applyFill="1" applyBorder="1" applyAlignment="1" applyProtection="1">
      <alignment horizontal="center" vertical="top" wrapText="1"/>
      <protection hidden="1"/>
    </xf>
    <xf numFmtId="1" fontId="11" fillId="4" borderId="102" xfId="2432" quotePrefix="1" applyNumberFormat="1" applyFont="1" applyFill="1" applyBorder="1" applyAlignment="1" applyProtection="1">
      <alignment horizontal="center" vertical="top" wrapText="1"/>
      <protection hidden="1"/>
    </xf>
    <xf numFmtId="1" fontId="11" fillId="4" borderId="61" xfId="2432" applyNumberFormat="1" applyFont="1" applyFill="1" applyBorder="1" applyAlignment="1" applyProtection="1">
      <alignment horizontal="center" vertical="top" wrapText="1"/>
      <protection hidden="1"/>
    </xf>
    <xf numFmtId="1" fontId="11" fillId="4" borderId="62" xfId="2432" applyNumberFormat="1" applyFont="1" applyFill="1" applyBorder="1" applyAlignment="1" applyProtection="1">
      <alignment horizontal="center" vertical="top" wrapText="1"/>
      <protection hidden="1"/>
    </xf>
    <xf numFmtId="1" fontId="11" fillId="4" borderId="99" xfId="2432" applyNumberFormat="1" applyFont="1" applyFill="1" applyBorder="1" applyAlignment="1" applyProtection="1">
      <alignment horizontal="center" vertical="top" wrapText="1"/>
      <protection hidden="1"/>
    </xf>
    <xf numFmtId="0" fontId="6" fillId="4" borderId="48" xfId="2432" applyFont="1" applyFill="1" applyBorder="1" applyAlignment="1" applyProtection="1">
      <alignment vertical="top" wrapText="1"/>
      <protection hidden="1"/>
    </xf>
    <xf numFmtId="0" fontId="6" fillId="4" borderId="49" xfId="2432" applyFont="1" applyFill="1" applyBorder="1" applyAlignment="1" applyProtection="1">
      <alignment vertical="top" wrapText="1"/>
      <protection hidden="1"/>
    </xf>
    <xf numFmtId="0" fontId="6" fillId="4" borderId="50" xfId="2432" applyFont="1" applyFill="1" applyBorder="1" applyAlignment="1" applyProtection="1">
      <alignment vertical="top" wrapText="1"/>
      <protection hidden="1"/>
    </xf>
    <xf numFmtId="0" fontId="6" fillId="4" borderId="51" xfId="2432" applyFont="1" applyFill="1" applyBorder="1" applyAlignment="1" applyProtection="1">
      <alignment horizontal="left" vertical="top" wrapText="1"/>
      <protection hidden="1"/>
    </xf>
    <xf numFmtId="0" fontId="11" fillId="4" borderId="48" xfId="2432" applyFont="1" applyFill="1" applyBorder="1" applyAlignment="1" applyProtection="1">
      <alignment vertical="top"/>
      <protection hidden="1"/>
    </xf>
    <xf numFmtId="0" fontId="11" fillId="4" borderId="49" xfId="2432" applyFont="1" applyFill="1" applyBorder="1" applyAlignment="1" applyProtection="1">
      <alignment vertical="top"/>
      <protection hidden="1"/>
    </xf>
    <xf numFmtId="0" fontId="11" fillId="4" borderId="52" xfId="2432" applyFont="1" applyFill="1" applyBorder="1" applyAlignment="1" applyProtection="1">
      <alignment vertical="top"/>
      <protection hidden="1"/>
    </xf>
    <xf numFmtId="42" fontId="11" fillId="4" borderId="3" xfId="2432" applyNumberFormat="1" applyFont="1" applyFill="1" applyBorder="1" applyAlignment="1" applyProtection="1">
      <alignment vertical="top"/>
      <protection hidden="1"/>
    </xf>
    <xf numFmtId="165" fontId="11" fillId="4" borderId="40" xfId="2432" applyNumberFormat="1" applyFont="1" applyFill="1" applyBorder="1" applyAlignment="1" applyProtection="1">
      <alignment vertical="top"/>
      <protection hidden="1"/>
    </xf>
    <xf numFmtId="165" fontId="11" fillId="4" borderId="4" xfId="2432" applyNumberFormat="1" applyFont="1" applyFill="1" applyBorder="1" applyAlignment="1" applyProtection="1">
      <alignment vertical="top"/>
      <protection hidden="1"/>
    </xf>
    <xf numFmtId="0" fontId="11" fillId="0" borderId="0" xfId="2432" applyFont="1" applyFill="1" applyAlignment="1" applyProtection="1">
      <alignment vertical="top"/>
      <protection hidden="1"/>
    </xf>
    <xf numFmtId="0" fontId="6" fillId="4" borderId="55" xfId="2432" applyFont="1" applyFill="1" applyBorder="1" applyAlignment="1" applyProtection="1">
      <alignment horizontal="left" vertical="top" wrapText="1"/>
      <protection hidden="1"/>
    </xf>
    <xf numFmtId="0" fontId="6" fillId="4" borderId="89" xfId="2432" applyFont="1" applyFill="1" applyBorder="1" applyAlignment="1" applyProtection="1">
      <alignment horizontal="left" vertical="top" wrapText="1"/>
      <protection hidden="1"/>
    </xf>
    <xf numFmtId="174" fontId="11" fillId="4" borderId="56" xfId="2432" applyNumberFormat="1" applyFont="1" applyFill="1" applyBorder="1" applyAlignment="1" applyProtection="1">
      <alignment horizontal="center" vertical="top" wrapText="1"/>
      <protection hidden="1"/>
    </xf>
    <xf numFmtId="174" fontId="11" fillId="4" borderId="57" xfId="2432" applyNumberFormat="1" applyFont="1" applyFill="1" applyBorder="1" applyAlignment="1" applyProtection="1">
      <alignment horizontal="center" vertical="top" wrapText="1"/>
      <protection hidden="1"/>
    </xf>
    <xf numFmtId="0" fontId="11" fillId="4" borderId="58" xfId="2432" applyFont="1" applyFill="1" applyBorder="1" applyAlignment="1" applyProtection="1">
      <alignment vertical="top"/>
      <protection hidden="1"/>
    </xf>
    <xf numFmtId="0" fontId="11" fillId="4" borderId="59" xfId="2432" applyFont="1" applyFill="1" applyBorder="1" applyAlignment="1" applyProtection="1">
      <alignment horizontal="left" vertical="top" wrapText="1"/>
      <protection hidden="1"/>
    </xf>
    <xf numFmtId="42" fontId="11" fillId="4" borderId="55" xfId="2432" applyNumberFormat="1" applyFont="1" applyFill="1" applyBorder="1" applyAlignment="1" applyProtection="1">
      <alignment vertical="top"/>
      <protection hidden="1"/>
    </xf>
    <xf numFmtId="42" fontId="11" fillId="4" borderId="56" xfId="2432" applyNumberFormat="1" applyFont="1" applyFill="1" applyBorder="1" applyAlignment="1" applyProtection="1">
      <alignment vertical="top"/>
      <protection hidden="1"/>
    </xf>
    <xf numFmtId="42" fontId="11" fillId="4" borderId="60" xfId="2432" applyNumberFormat="1" applyFont="1" applyFill="1" applyBorder="1" applyAlignment="1" applyProtection="1">
      <alignment vertical="top"/>
      <protection hidden="1"/>
    </xf>
    <xf numFmtId="0" fontId="6" fillId="4" borderId="0" xfId="2432" applyFont="1" applyFill="1" applyBorder="1" applyAlignment="1" applyProtection="1">
      <alignment horizontal="left" vertical="top" wrapText="1"/>
      <protection hidden="1"/>
    </xf>
    <xf numFmtId="174" fontId="11" fillId="4" borderId="0" xfId="2432" applyNumberFormat="1" applyFont="1" applyFill="1" applyBorder="1" applyAlignment="1" applyProtection="1">
      <alignment horizontal="center" vertical="top" wrapText="1"/>
      <protection hidden="1"/>
    </xf>
    <xf numFmtId="0" fontId="11" fillId="4" borderId="0" xfId="2432" applyFont="1" applyFill="1" applyBorder="1" applyAlignment="1" applyProtection="1">
      <alignment horizontal="center" vertical="top"/>
      <protection hidden="1"/>
    </xf>
    <xf numFmtId="0" fontId="11" fillId="4" borderId="0" xfId="2432" applyFont="1" applyFill="1" applyBorder="1" applyAlignment="1" applyProtection="1">
      <alignment horizontal="left" vertical="top" wrapText="1"/>
      <protection hidden="1"/>
    </xf>
    <xf numFmtId="0" fontId="11" fillId="2" borderId="3" xfId="2432" applyFont="1" applyFill="1" applyBorder="1" applyAlignment="1" applyProtection="1">
      <alignment horizontal="left" vertical="top" wrapText="1"/>
      <protection locked="0"/>
    </xf>
    <xf numFmtId="0" fontId="11" fillId="2" borderId="71" xfId="2432" applyFont="1" applyFill="1" applyBorder="1" applyAlignment="1" applyProtection="1">
      <alignment horizontal="left" vertical="top" wrapText="1"/>
      <protection locked="0"/>
    </xf>
    <xf numFmtId="42" fontId="11" fillId="2" borderId="40" xfId="2432" applyNumberFormat="1" applyFont="1" applyFill="1" applyBorder="1" applyAlignment="1" applyProtection="1">
      <alignment vertical="top"/>
      <protection locked="0"/>
    </xf>
    <xf numFmtId="174" fontId="11" fillId="2" borderId="40" xfId="2432" applyNumberFormat="1" applyFont="1" applyFill="1" applyBorder="1" applyAlignment="1" applyProtection="1">
      <alignment horizontal="center" vertical="top" wrapText="1"/>
      <protection locked="0"/>
    </xf>
    <xf numFmtId="174" fontId="11" fillId="2" borderId="54" xfId="2432" applyNumberFormat="1" applyFont="1" applyFill="1" applyBorder="1" applyAlignment="1" applyProtection="1">
      <alignment horizontal="center" vertical="top" wrapText="1"/>
      <protection locked="0"/>
    </xf>
    <xf numFmtId="42" fontId="11" fillId="2" borderId="53" xfId="2432" applyNumberFormat="1" applyFont="1" applyFill="1" applyBorder="1" applyAlignment="1" applyProtection="1">
      <alignment vertical="top"/>
      <protection locked="0"/>
    </xf>
    <xf numFmtId="0" fontId="11" fillId="2" borderId="75" xfId="2432" applyFont="1" applyFill="1" applyBorder="1" applyAlignment="1" applyProtection="1">
      <alignment horizontal="left" vertical="top" wrapText="1"/>
      <protection locked="0"/>
    </xf>
    <xf numFmtId="42" fontId="11" fillId="2" borderId="67" xfId="2432" applyNumberFormat="1" applyFont="1" applyFill="1" applyBorder="1" applyAlignment="1" applyProtection="1">
      <alignment vertical="top"/>
      <protection locked="0"/>
    </xf>
    <xf numFmtId="42" fontId="11" fillId="2" borderId="43" xfId="2432" applyNumberFormat="1" applyFont="1" applyFill="1" applyBorder="1" applyAlignment="1" applyProtection="1">
      <alignment vertical="top"/>
      <protection locked="0"/>
    </xf>
    <xf numFmtId="10" fontId="6" fillId="2" borderId="42" xfId="2433" applyNumberFormat="1" applyFont="1" applyFill="1" applyBorder="1" applyAlignment="1" applyProtection="1">
      <alignment horizontal="center" vertical="top"/>
      <protection locked="0"/>
    </xf>
    <xf numFmtId="10" fontId="6" fillId="2" borderId="43" xfId="2433" applyNumberFormat="1" applyFont="1" applyFill="1" applyBorder="1" applyAlignment="1" applyProtection="1">
      <alignment horizontal="center" vertical="top"/>
      <protection locked="0"/>
    </xf>
    <xf numFmtId="10" fontId="6" fillId="2" borderId="44" xfId="2433" applyNumberFormat="1" applyFont="1" applyFill="1" applyBorder="1" applyAlignment="1" applyProtection="1">
      <alignment horizontal="center" vertical="top"/>
      <protection locked="0"/>
    </xf>
    <xf numFmtId="0" fontId="11" fillId="4" borderId="4" xfId="2432" applyFont="1" applyFill="1" applyBorder="1" applyAlignment="1" applyProtection="1">
      <alignment horizontal="left" vertical="top" wrapText="1"/>
      <protection locked="0"/>
    </xf>
    <xf numFmtId="0" fontId="77" fillId="0" borderId="4" xfId="2434" applyBorder="1" applyAlignment="1" applyProtection="1">
      <alignment vertical="top" wrapText="1"/>
      <protection locked="0"/>
    </xf>
    <xf numFmtId="0" fontId="77" fillId="0" borderId="76" xfId="2434" applyBorder="1" applyAlignment="1" applyProtection="1">
      <alignment vertical="top" wrapText="1"/>
      <protection locked="0"/>
    </xf>
    <xf numFmtId="0" fontId="11" fillId="4" borderId="44" xfId="2432" applyFont="1" applyFill="1" applyBorder="1" applyAlignment="1" applyProtection="1">
      <alignment horizontal="left" vertical="top" wrapText="1"/>
      <protection locked="0"/>
    </xf>
    <xf numFmtId="0" fontId="0" fillId="4" borderId="0" xfId="0" applyFont="1" applyFill="1" applyAlignment="1" applyProtection="1">
      <alignment vertical="top"/>
      <protection hidden="1"/>
    </xf>
    <xf numFmtId="0" fontId="0" fillId="4" borderId="0" xfId="0" applyFont="1" applyFill="1" applyAlignment="1" applyProtection="1">
      <alignment horizontal="left" vertical="top"/>
      <protection hidden="1"/>
    </xf>
    <xf numFmtId="41" fontId="20" fillId="4" borderId="0" xfId="0" applyNumberFormat="1" applyFont="1" applyFill="1" applyAlignment="1" applyProtection="1">
      <alignment vertical="top"/>
      <protection hidden="1"/>
    </xf>
    <xf numFmtId="0" fontId="20" fillId="4" borderId="0" xfId="6" applyFont="1" applyFill="1" applyBorder="1" applyProtection="1">
      <protection hidden="1"/>
    </xf>
    <xf numFmtId="41" fontId="20" fillId="4" borderId="0" xfId="0" applyNumberFormat="1" applyFont="1" applyFill="1" applyBorder="1" applyAlignment="1" applyProtection="1">
      <alignment vertical="top"/>
      <protection hidden="1"/>
    </xf>
    <xf numFmtId="41" fontId="2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vertical="top"/>
      <protection hidden="1"/>
    </xf>
    <xf numFmtId="0" fontId="15" fillId="4" borderId="0" xfId="0" applyFont="1" applyFill="1" applyAlignment="1" applyProtection="1">
      <alignment horizontal="center" vertical="top"/>
      <protection hidden="1"/>
    </xf>
    <xf numFmtId="172" fontId="20" fillId="56" borderId="0" xfId="0" applyNumberFormat="1" applyFont="1" applyFill="1" applyBorder="1" applyAlignment="1" applyProtection="1">
      <alignment horizontal="right" vertical="top"/>
      <protection hidden="1"/>
    </xf>
    <xf numFmtId="172" fontId="20" fillId="4" borderId="0" xfId="0" applyNumberFormat="1" applyFont="1" applyFill="1" applyBorder="1" applyAlignment="1" applyProtection="1">
      <alignment horizontal="right" vertical="top"/>
      <protection hidden="1"/>
    </xf>
    <xf numFmtId="1" fontId="8" fillId="4" borderId="0" xfId="0" applyNumberFormat="1" applyFont="1" applyFill="1" applyAlignment="1" applyProtection="1">
      <alignment horizontal="center" vertical="top"/>
      <protection hidden="1"/>
    </xf>
    <xf numFmtId="41" fontId="22" fillId="57" borderId="0" xfId="0" applyNumberFormat="1" applyFont="1" applyFill="1" applyBorder="1" applyAlignment="1" applyProtection="1">
      <alignment horizontal="center" vertical="top"/>
      <protection hidden="1"/>
    </xf>
    <xf numFmtId="41" fontId="22" fillId="4" borderId="0" xfId="0" applyNumberFormat="1" applyFont="1" applyFill="1" applyBorder="1" applyAlignment="1" applyProtection="1">
      <alignment horizontal="center" vertical="top"/>
      <protection hidden="1"/>
    </xf>
    <xf numFmtId="1" fontId="8" fillId="4" borderId="0" xfId="0" applyNumberFormat="1" applyFont="1" applyFill="1" applyBorder="1" applyAlignment="1" applyProtection="1">
      <alignment horizontal="center" vertical="top"/>
      <protection hidden="1"/>
    </xf>
    <xf numFmtId="0" fontId="8" fillId="4" borderId="0" xfId="0" applyFont="1" applyFill="1" applyAlignment="1" applyProtection="1">
      <alignment horizontal="center" vertical="top"/>
      <protection hidden="1"/>
    </xf>
    <xf numFmtId="43" fontId="18" fillId="4" borderId="0" xfId="0" applyNumberFormat="1" applyFont="1" applyFill="1" applyAlignment="1" applyProtection="1">
      <alignment vertical="top"/>
      <protection hidden="1"/>
    </xf>
    <xf numFmtId="43" fontId="10" fillId="4" borderId="0" xfId="0" applyNumberFormat="1" applyFont="1" applyFill="1" applyAlignment="1" applyProtection="1">
      <alignment vertical="top"/>
      <protection hidden="1"/>
    </xf>
    <xf numFmtId="0" fontId="20" fillId="4" borderId="20" xfId="6" applyFont="1" applyFill="1" applyBorder="1" applyProtection="1">
      <protection hidden="1"/>
    </xf>
    <xf numFmtId="41" fontId="22" fillId="4" borderId="21" xfId="0" applyNumberFormat="1" applyFont="1" applyFill="1" applyBorder="1" applyAlignment="1" applyProtection="1">
      <alignment vertical="top"/>
      <protection hidden="1"/>
    </xf>
    <xf numFmtId="41" fontId="20" fillId="4" borderId="21" xfId="0" applyNumberFormat="1" applyFont="1" applyFill="1" applyBorder="1" applyAlignment="1" applyProtection="1">
      <alignment vertical="top"/>
      <protection hidden="1"/>
    </xf>
    <xf numFmtId="41" fontId="20" fillId="4" borderId="22" xfId="0" applyNumberFormat="1" applyFont="1" applyFill="1" applyBorder="1" applyAlignment="1" applyProtection="1">
      <alignment vertical="top"/>
      <protection hidden="1"/>
    </xf>
    <xf numFmtId="0" fontId="10" fillId="4" borderId="0" xfId="0" applyFont="1" applyFill="1" applyAlignment="1" applyProtection="1">
      <alignment horizontal="right" vertical="top"/>
      <protection hidden="1"/>
    </xf>
    <xf numFmtId="41" fontId="19" fillId="4" borderId="0" xfId="0" applyNumberFormat="1" applyFont="1" applyFill="1" applyAlignment="1" applyProtection="1">
      <alignment horizontal="center" vertical="top"/>
      <protection hidden="1"/>
    </xf>
    <xf numFmtId="41" fontId="4" fillId="4" borderId="0" xfId="0" applyNumberFormat="1" applyFont="1" applyFill="1" applyAlignment="1" applyProtection="1">
      <alignment vertical="top"/>
      <protection hidden="1"/>
    </xf>
    <xf numFmtId="0" fontId="20" fillId="4" borderId="23" xfId="6" applyFont="1" applyFill="1" applyBorder="1" applyProtection="1">
      <protection hidden="1"/>
    </xf>
    <xf numFmtId="41" fontId="22" fillId="4" borderId="0" xfId="0" applyNumberFormat="1" applyFont="1" applyFill="1" applyBorder="1" applyAlignment="1" applyProtection="1">
      <alignment vertical="top"/>
      <protection hidden="1"/>
    </xf>
    <xf numFmtId="41" fontId="21" fillId="4" borderId="0" xfId="0" applyNumberFormat="1" applyFont="1" applyFill="1" applyBorder="1" applyAlignment="1" applyProtection="1">
      <alignment vertical="top"/>
      <protection hidden="1"/>
    </xf>
    <xf numFmtId="41" fontId="22" fillId="4" borderId="24" xfId="0" applyNumberFormat="1" applyFont="1" applyFill="1" applyBorder="1" applyAlignment="1" applyProtection="1">
      <alignment horizontal="center" vertical="top"/>
      <protection hidden="1"/>
    </xf>
    <xf numFmtId="173" fontId="20" fillId="4" borderId="66" xfId="0" applyNumberFormat="1" applyFont="1" applyFill="1" applyBorder="1" applyAlignment="1" applyProtection="1">
      <alignment vertical="top"/>
      <protection hidden="1"/>
    </xf>
    <xf numFmtId="173" fontId="22" fillId="4" borderId="66" xfId="0" applyNumberFormat="1" applyFont="1" applyFill="1" applyBorder="1" applyAlignment="1" applyProtection="1">
      <alignment horizontal="center" vertical="top"/>
      <protection hidden="1"/>
    </xf>
    <xf numFmtId="43" fontId="8" fillId="4" borderId="0" xfId="0" applyNumberFormat="1" applyFont="1" applyFill="1" applyAlignment="1" applyProtection="1">
      <alignment horizontal="right" vertical="top"/>
      <protection hidden="1"/>
    </xf>
    <xf numFmtId="166" fontId="10" fillId="5" borderId="38" xfId="0" applyNumberFormat="1" applyFont="1" applyFill="1" applyBorder="1" applyAlignment="1" applyProtection="1">
      <alignment horizontal="center" vertical="top"/>
      <protection hidden="1"/>
    </xf>
    <xf numFmtId="43" fontId="10" fillId="5" borderId="39" xfId="0" applyNumberFormat="1" applyFont="1" applyFill="1" applyBorder="1" applyAlignment="1" applyProtection="1">
      <alignment vertical="top"/>
      <protection hidden="1"/>
    </xf>
    <xf numFmtId="0" fontId="6" fillId="4" borderId="65" xfId="6" applyFont="1" applyFill="1" applyBorder="1" applyAlignment="1" applyProtection="1">
      <alignment vertical="top" wrapText="1"/>
      <protection hidden="1"/>
    </xf>
    <xf numFmtId="43" fontId="0" fillId="4" borderId="0" xfId="0" applyNumberFormat="1" applyFont="1" applyFill="1" applyAlignment="1" applyProtection="1">
      <alignment horizontal="right" vertical="top"/>
      <protection hidden="1"/>
    </xf>
    <xf numFmtId="41" fontId="20" fillId="4" borderId="24" xfId="0" applyNumberFormat="1" applyFont="1" applyFill="1" applyBorder="1" applyAlignment="1" applyProtection="1">
      <alignment vertical="top"/>
      <protection hidden="1"/>
    </xf>
    <xf numFmtId="41" fontId="4" fillId="4" borderId="0" xfId="0" applyNumberFormat="1" applyFont="1" applyFill="1" applyAlignment="1" applyProtection="1">
      <alignment horizontal="center" vertical="top"/>
      <protection hidden="1"/>
    </xf>
    <xf numFmtId="0" fontId="6" fillId="4" borderId="0" xfId="6" applyFont="1" applyFill="1" applyAlignment="1" applyProtection="1">
      <alignment vertical="top" wrapText="1"/>
      <protection hidden="1"/>
    </xf>
    <xf numFmtId="43" fontId="0" fillId="4" borderId="66" xfId="0" applyNumberFormat="1" applyFont="1" applyFill="1" applyBorder="1" applyAlignment="1" applyProtection="1">
      <alignment horizontal="right" vertical="top"/>
      <protection hidden="1"/>
    </xf>
    <xf numFmtId="43" fontId="0" fillId="0" borderId="1" xfId="0" applyNumberFormat="1" applyFont="1" applyFill="1" applyBorder="1" applyAlignment="1" applyProtection="1">
      <alignment horizontal="right" vertical="top"/>
      <protection hidden="1"/>
    </xf>
    <xf numFmtId="164" fontId="11" fillId="0" borderId="90" xfId="1" applyNumberFormat="1" applyFont="1" applyFill="1" applyBorder="1" applyAlignment="1" applyProtection="1">
      <alignment horizontal="right" vertical="top"/>
      <protection hidden="1"/>
    </xf>
    <xf numFmtId="0" fontId="11" fillId="4" borderId="0" xfId="1062" applyFont="1" applyFill="1" applyBorder="1" applyAlignment="1" applyProtection="1">
      <alignment horizontal="left" vertical="center" indent="2"/>
      <protection hidden="1"/>
    </xf>
    <xf numFmtId="0" fontId="0" fillId="4" borderId="0" xfId="0" applyFont="1" applyFill="1" applyAlignment="1" applyProtection="1">
      <alignment horizontal="left" vertical="top" indent="2"/>
      <protection hidden="1"/>
    </xf>
    <xf numFmtId="43" fontId="0" fillId="4" borderId="0" xfId="0" applyNumberFormat="1" applyFont="1" applyFill="1" applyAlignment="1" applyProtection="1">
      <alignment horizontal="left" vertical="top"/>
      <protection hidden="1"/>
    </xf>
    <xf numFmtId="43" fontId="0" fillId="0" borderId="66" xfId="0" applyNumberFormat="1" applyFont="1" applyFill="1" applyBorder="1" applyAlignment="1" applyProtection="1">
      <alignment horizontal="right" vertical="top"/>
      <protection hidden="1"/>
    </xf>
    <xf numFmtId="3" fontId="0" fillId="4" borderId="0" xfId="0" applyNumberFormat="1" applyFont="1" applyFill="1" applyAlignment="1" applyProtection="1">
      <alignment horizontal="left" vertical="top" indent="2"/>
      <protection hidden="1"/>
    </xf>
    <xf numFmtId="3" fontId="11" fillId="4" borderId="0" xfId="1062" applyNumberFormat="1" applyFont="1" applyFill="1" applyBorder="1" applyAlignment="1" applyProtection="1">
      <alignment horizontal="left" indent="2"/>
      <protection hidden="1"/>
    </xf>
    <xf numFmtId="0" fontId="6" fillId="4" borderId="0" xfId="6" applyFont="1" applyFill="1" applyAlignment="1" applyProtection="1">
      <alignment horizontal="left" wrapText="1"/>
      <protection hidden="1"/>
    </xf>
    <xf numFmtId="0" fontId="20" fillId="4" borderId="25" xfId="6" applyFont="1" applyFill="1" applyBorder="1" applyProtection="1">
      <protection hidden="1"/>
    </xf>
    <xf numFmtId="41" fontId="22" fillId="4" borderId="26" xfId="0" applyNumberFormat="1" applyFont="1" applyFill="1" applyBorder="1" applyAlignment="1" applyProtection="1">
      <alignment vertical="top"/>
      <protection hidden="1"/>
    </xf>
    <xf numFmtId="173" fontId="20" fillId="4" borderId="95" xfId="0" applyNumberFormat="1" applyFont="1" applyFill="1" applyBorder="1" applyAlignment="1" applyProtection="1">
      <alignment vertical="top"/>
      <protection hidden="1"/>
    </xf>
    <xf numFmtId="41" fontId="20" fillId="4" borderId="27" xfId="0" applyNumberFormat="1" applyFont="1" applyFill="1" applyBorder="1" applyAlignment="1" applyProtection="1">
      <alignment vertical="top"/>
      <protection hidden="1"/>
    </xf>
    <xf numFmtId="0" fontId="11" fillId="2" borderId="0" xfId="6" applyFont="1" applyFill="1" applyAlignment="1" applyProtection="1">
      <alignment horizontal="left" vertical="top" wrapText="1" indent="2"/>
      <protection locked="0"/>
    </xf>
    <xf numFmtId="3" fontId="11" fillId="2" borderId="0" xfId="1062" applyNumberFormat="1" applyFont="1" applyFill="1" applyBorder="1" applyAlignment="1" applyProtection="1">
      <alignment horizontal="left" indent="2"/>
      <protection locked="0"/>
    </xf>
    <xf numFmtId="41" fontId="19" fillId="4" borderId="0" xfId="0" applyNumberFormat="1" applyFont="1" applyFill="1" applyAlignment="1" applyProtection="1">
      <alignment horizontal="center" vertical="top" wrapText="1"/>
      <protection hidden="1"/>
    </xf>
    <xf numFmtId="43" fontId="0" fillId="4" borderId="0" xfId="0" applyNumberFormat="1" applyFont="1" applyFill="1" applyAlignment="1" applyProtection="1">
      <alignment horizontal="right" vertical="top" wrapText="1"/>
      <protection hidden="1"/>
    </xf>
    <xf numFmtId="173" fontId="20" fillId="4" borderId="105" xfId="0" applyNumberFormat="1" applyFont="1" applyFill="1" applyBorder="1" applyAlignment="1" applyProtection="1">
      <alignment vertical="top"/>
      <protection hidden="1"/>
    </xf>
    <xf numFmtId="173" fontId="22" fillId="4" borderId="105" xfId="0" applyNumberFormat="1" applyFont="1" applyFill="1" applyBorder="1" applyAlignment="1" applyProtection="1">
      <alignment horizontal="center" vertical="top"/>
      <protection hidden="1"/>
    </xf>
    <xf numFmtId="41" fontId="4" fillId="4" borderId="0" xfId="0" applyNumberFormat="1" applyFont="1" applyFill="1" applyAlignment="1" applyProtection="1">
      <alignment horizontal="center" vertical="top" wrapText="1"/>
      <protection hidden="1"/>
    </xf>
    <xf numFmtId="41" fontId="11" fillId="4" borderId="0" xfId="6" applyNumberFormat="1" applyFont="1" applyFill="1" applyBorder="1" applyAlignment="1" applyProtection="1">
      <alignment horizontal="right" vertical="top" wrapText="1"/>
      <protection hidden="1"/>
    </xf>
    <xf numFmtId="0" fontId="11" fillId="4" borderId="0" xfId="6" applyFont="1" applyFill="1" applyBorder="1" applyAlignment="1" applyProtection="1">
      <protection hidden="1"/>
    </xf>
    <xf numFmtId="41" fontId="11" fillId="4" borderId="0" xfId="6" applyNumberFormat="1" applyFont="1" applyFill="1" applyBorder="1" applyAlignment="1" applyProtection="1">
      <alignment horizontal="center" vertical="top"/>
      <protection hidden="1"/>
    </xf>
    <xf numFmtId="41" fontId="11" fillId="4" borderId="0" xfId="6" applyNumberFormat="1" applyFont="1" applyFill="1" applyBorder="1" applyAlignment="1" applyProtection="1">
      <alignment vertical="top" wrapText="1"/>
      <protection hidden="1"/>
    </xf>
    <xf numFmtId="41" fontId="11" fillId="0" borderId="0" xfId="6" applyNumberFormat="1" applyFont="1" applyFill="1" applyBorder="1" applyAlignment="1" applyProtection="1">
      <alignment vertical="top" wrapText="1"/>
      <protection hidden="1"/>
    </xf>
    <xf numFmtId="41" fontId="15" fillId="4" borderId="0" xfId="0" applyNumberFormat="1" applyFont="1" applyFill="1" applyBorder="1" applyAlignment="1" applyProtection="1">
      <alignment vertical="top"/>
      <protection hidden="1"/>
    </xf>
    <xf numFmtId="41" fontId="79" fillId="4" borderId="0" xfId="0" applyNumberFormat="1" applyFont="1" applyFill="1" applyBorder="1" applyAlignment="1" applyProtection="1">
      <alignment vertical="top"/>
      <protection hidden="1"/>
    </xf>
    <xf numFmtId="0" fontId="11" fillId="4" borderId="0" xfId="6" applyFont="1" applyFill="1" applyAlignment="1" applyProtection="1">
      <alignment horizontal="center"/>
      <protection hidden="1"/>
    </xf>
    <xf numFmtId="41" fontId="11" fillId="4" borderId="0" xfId="6" applyNumberFormat="1" applyFont="1" applyFill="1" applyAlignment="1" applyProtection="1">
      <alignment horizontal="center"/>
      <protection hidden="1"/>
    </xf>
    <xf numFmtId="41" fontId="11" fillId="2" borderId="105" xfId="6" applyNumberFormat="1" applyFont="1" applyFill="1" applyBorder="1" applyAlignment="1" applyProtection="1">
      <alignment vertical="top"/>
      <protection locked="0"/>
    </xf>
    <xf numFmtId="41" fontId="11" fillId="4" borderId="105" xfId="6" applyNumberFormat="1" applyFont="1" applyFill="1" applyBorder="1" applyAlignment="1" applyProtection="1">
      <alignment horizontal="right" vertical="top" wrapText="1"/>
      <protection hidden="1"/>
    </xf>
    <xf numFmtId="41" fontId="11" fillId="0" borderId="105" xfId="6" applyNumberFormat="1" applyFont="1" applyFill="1" applyBorder="1" applyAlignment="1" applyProtection="1">
      <alignment horizontal="right" vertical="top" wrapText="1"/>
      <protection hidden="1"/>
    </xf>
    <xf numFmtId="0" fontId="6" fillId="4" borderId="0" xfId="2437" applyFont="1" applyFill="1" applyAlignment="1" applyProtection="1">
      <alignment horizontal="left" vertical="top" wrapText="1"/>
      <protection hidden="1"/>
    </xf>
    <xf numFmtId="42" fontId="6" fillId="4" borderId="34" xfId="6" applyNumberFormat="1" applyFont="1" applyFill="1" applyBorder="1" applyAlignment="1" applyProtection="1">
      <alignment horizontal="right" vertical="top"/>
      <protection hidden="1"/>
    </xf>
    <xf numFmtId="41" fontId="11" fillId="4" borderId="105" xfId="6" applyNumberFormat="1" applyFont="1" applyFill="1" applyBorder="1" applyAlignment="1" applyProtection="1">
      <alignment vertical="top"/>
      <protection hidden="1"/>
    </xf>
    <xf numFmtId="41" fontId="11" fillId="4" borderId="0" xfId="6" applyNumberFormat="1" applyFont="1" applyFill="1" applyBorder="1" applyAlignment="1" applyProtection="1">
      <alignment horizontal="center" vertical="top" wrapText="1"/>
      <protection hidden="1"/>
    </xf>
    <xf numFmtId="42" fontId="6" fillId="4" borderId="0" xfId="6" applyNumberFormat="1" applyFont="1" applyFill="1" applyBorder="1" applyAlignment="1" applyProtection="1">
      <alignment horizontal="center" vertical="top"/>
      <protection hidden="1"/>
    </xf>
    <xf numFmtId="42" fontId="6" fillId="4" borderId="0" xfId="6" applyNumberFormat="1" applyFont="1" applyFill="1" applyBorder="1" applyAlignment="1" applyProtection="1">
      <alignment horizontal="center" vertical="top" wrapText="1"/>
      <protection hidden="1"/>
    </xf>
    <xf numFmtId="41" fontId="11" fillId="4" borderId="0" xfId="6" applyNumberFormat="1" applyFont="1" applyFill="1" applyAlignment="1" applyProtection="1">
      <alignment horizontal="center" vertical="top" wrapText="1"/>
      <protection hidden="1"/>
    </xf>
    <xf numFmtId="41" fontId="11" fillId="0" borderId="0" xfId="6" applyNumberFormat="1" applyFont="1" applyFill="1" applyAlignment="1" applyProtection="1">
      <alignment horizontal="center" vertical="top" wrapText="1"/>
      <protection hidden="1"/>
    </xf>
    <xf numFmtId="0" fontId="78" fillId="0" borderId="0" xfId="1062" applyFont="1" applyProtection="1">
      <protection hidden="1"/>
    </xf>
    <xf numFmtId="0" fontId="78" fillId="4" borderId="0" xfId="1062" applyFont="1" applyFill="1" applyProtection="1">
      <protection hidden="1"/>
    </xf>
    <xf numFmtId="0" fontId="78" fillId="4" borderId="0" xfId="1062" applyFont="1" applyFill="1" applyBorder="1" applyProtection="1">
      <protection hidden="1"/>
    </xf>
    <xf numFmtId="0" fontId="88" fillId="4" borderId="28" xfId="1062" applyFont="1" applyFill="1" applyBorder="1" applyAlignment="1" applyProtection="1">
      <alignment horizontal="center"/>
      <protection hidden="1"/>
    </xf>
    <xf numFmtId="0" fontId="78" fillId="4" borderId="28" xfId="1062" applyFont="1" applyFill="1" applyBorder="1" applyAlignment="1" applyProtection="1">
      <alignment horizontal="left"/>
      <protection hidden="1"/>
    </xf>
    <xf numFmtId="1" fontId="78" fillId="62" borderId="30" xfId="1062" applyNumberFormat="1" applyFont="1" applyFill="1" applyBorder="1" applyAlignment="1" applyProtection="1">
      <alignment horizontal="left"/>
      <protection locked="0"/>
    </xf>
    <xf numFmtId="43" fontId="0" fillId="2" borderId="40" xfId="0" applyNumberFormat="1" applyFill="1" applyBorder="1" applyProtection="1">
      <protection locked="0"/>
    </xf>
    <xf numFmtId="9" fontId="0" fillId="2" borderId="66" xfId="0" applyNumberFormat="1" applyFill="1" applyBorder="1" applyProtection="1">
      <protection locked="0"/>
    </xf>
    <xf numFmtId="42" fontId="6" fillId="4" borderId="116" xfId="6" applyNumberFormat="1" applyFont="1" applyFill="1" applyBorder="1" applyAlignment="1" applyProtection="1">
      <alignment horizontal="right" vertical="top"/>
      <protection hidden="1"/>
    </xf>
    <xf numFmtId="42" fontId="6" fillId="4" borderId="118" xfId="6" applyNumberFormat="1" applyFont="1" applyFill="1" applyBorder="1" applyAlignment="1" applyProtection="1">
      <alignment horizontal="right" vertical="top"/>
      <protection hidden="1"/>
    </xf>
    <xf numFmtId="0" fontId="78" fillId="60" borderId="29" xfId="1062" applyFont="1" applyFill="1" applyBorder="1" applyAlignment="1" applyProtection="1">
      <protection locked="0"/>
    </xf>
    <xf numFmtId="0" fontId="88" fillId="4" borderId="29" xfId="1062" applyFont="1" applyFill="1" applyBorder="1" applyAlignment="1" applyProtection="1">
      <alignment horizontal="center"/>
      <protection hidden="1"/>
    </xf>
    <xf numFmtId="0" fontId="78" fillId="4" borderId="29" xfId="1062" applyFont="1" applyFill="1" applyBorder="1" applyAlignment="1" applyProtection="1">
      <protection hidden="1"/>
    </xf>
    <xf numFmtId="0" fontId="78" fillId="4" borderId="28" xfId="1062" applyFont="1" applyFill="1" applyBorder="1" applyAlignment="1" applyProtection="1">
      <protection hidden="1"/>
    </xf>
    <xf numFmtId="0" fontId="78" fillId="0" borderId="91" xfId="1062" applyFont="1" applyFill="1" applyBorder="1" applyAlignment="1" applyProtection="1">
      <protection hidden="1"/>
    </xf>
    <xf numFmtId="0" fontId="4" fillId="63" borderId="0" xfId="0" applyFont="1" applyFill="1" applyBorder="1" applyProtection="1">
      <protection hidden="1"/>
    </xf>
    <xf numFmtId="43" fontId="4" fillId="63" borderId="0" xfId="0" applyNumberFormat="1" applyFont="1" applyFill="1" applyBorder="1" applyProtection="1">
      <protection hidden="1"/>
    </xf>
    <xf numFmtId="0" fontId="15" fillId="63" borderId="0" xfId="0" applyFont="1" applyFill="1" applyAlignment="1" applyProtection="1">
      <alignment horizontal="center" vertical="center"/>
      <protection hidden="1"/>
    </xf>
    <xf numFmtId="41" fontId="0" fillId="63" borderId="112" xfId="0" applyNumberFormat="1" applyFont="1" applyFill="1" applyBorder="1" applyAlignment="1" applyProtection="1">
      <alignment horizontal="center" vertical="top"/>
      <protection hidden="1"/>
    </xf>
    <xf numFmtId="41" fontId="0" fillId="63" borderId="117" xfId="0" applyNumberFormat="1" applyFont="1" applyFill="1" applyBorder="1" applyAlignment="1" applyProtection="1">
      <alignment horizontal="center" vertical="top"/>
      <protection hidden="1"/>
    </xf>
    <xf numFmtId="0" fontId="78" fillId="4" borderId="0" xfId="1062" applyFont="1" applyFill="1" applyProtection="1"/>
    <xf numFmtId="0" fontId="89" fillId="4" borderId="0" xfId="1062" applyFont="1" applyFill="1" applyBorder="1" applyProtection="1"/>
    <xf numFmtId="0" fontId="78" fillId="4" borderId="0" xfId="1062" applyFont="1" applyFill="1" applyBorder="1" applyProtection="1"/>
    <xf numFmtId="0" fontId="78" fillId="4" borderId="0" xfId="1062" applyFont="1" applyFill="1" applyBorder="1" applyAlignment="1" applyProtection="1">
      <alignment horizontal="center"/>
    </xf>
    <xf numFmtId="0" fontId="78" fillId="0" borderId="0" xfId="1062" applyFont="1" applyProtection="1"/>
    <xf numFmtId="0" fontId="90" fillId="4" borderId="0" xfId="1062" applyFont="1" applyFill="1" applyBorder="1" applyAlignment="1" applyProtection="1">
      <alignment vertical="top"/>
    </xf>
    <xf numFmtId="0" fontId="6" fillId="4" borderId="0" xfId="1062" applyFont="1" applyFill="1" applyBorder="1" applyAlignment="1" applyProtection="1">
      <alignment vertical="top"/>
    </xf>
    <xf numFmtId="0" fontId="89"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xf>
    <xf numFmtId="0" fontId="11" fillId="4" borderId="0" xfId="1062" applyFont="1" applyFill="1" applyBorder="1" applyAlignment="1" applyProtection="1">
      <alignment horizontal="left" vertical="top" wrapText="1"/>
    </xf>
    <xf numFmtId="0" fontId="89" fillId="4" borderId="0" xfId="1062" applyFont="1" applyFill="1" applyBorder="1" applyAlignment="1" applyProtection="1">
      <alignment vertical="top"/>
    </xf>
    <xf numFmtId="0" fontId="11" fillId="4" borderId="0" xfId="1062" applyFont="1" applyFill="1" applyBorder="1" applyAlignment="1" applyProtection="1">
      <alignment vertical="top"/>
    </xf>
    <xf numFmtId="0" fontId="89" fillId="4" borderId="0" xfId="1062" applyFont="1" applyFill="1" applyBorder="1" applyAlignment="1" applyProtection="1">
      <alignment horizontal="left" vertical="top" wrapText="1"/>
    </xf>
    <xf numFmtId="0" fontId="89" fillId="4" borderId="0" xfId="1062" applyFont="1" applyFill="1" applyBorder="1" applyAlignment="1" applyProtection="1">
      <alignment wrapText="1"/>
    </xf>
    <xf numFmtId="0" fontId="11" fillId="4" borderId="0" xfId="1062" applyFont="1" applyFill="1" applyBorder="1" applyAlignment="1" applyProtection="1">
      <alignment wrapText="1"/>
    </xf>
    <xf numFmtId="0" fontId="78" fillId="4" borderId="0" xfId="1062" applyFont="1" applyFill="1" applyBorder="1" applyAlignment="1" applyProtection="1">
      <alignment horizontal="left" vertical="top"/>
    </xf>
    <xf numFmtId="0" fontId="89" fillId="0" borderId="0" xfId="1062" applyFont="1" applyProtection="1"/>
    <xf numFmtId="41" fontId="15" fillId="4" borderId="0" xfId="0" applyNumberFormat="1" applyFont="1" applyFill="1" applyBorder="1" applyAlignment="1" applyProtection="1">
      <alignment vertical="top" wrapText="1"/>
      <protection hidden="1"/>
    </xf>
    <xf numFmtId="0" fontId="23" fillId="4" borderId="0" xfId="6" applyFont="1" applyFill="1" applyBorder="1" applyAlignment="1" applyProtection="1">
      <alignment horizontal="center" vertical="top" wrapText="1"/>
      <protection hidden="1"/>
    </xf>
    <xf numFmtId="0" fontId="20" fillId="4" borderId="0" xfId="6" applyFont="1" applyFill="1" applyAlignment="1" applyProtection="1">
      <alignment wrapText="1"/>
      <protection hidden="1"/>
    </xf>
    <xf numFmtId="0" fontId="20" fillId="4" borderId="0" xfId="6" applyFont="1" applyFill="1" applyAlignment="1" applyProtection="1">
      <alignment vertical="top" wrapText="1"/>
      <protection hidden="1"/>
    </xf>
    <xf numFmtId="0" fontId="11" fillId="4" borderId="0" xfId="6" applyFont="1" applyFill="1" applyBorder="1" applyAlignment="1" applyProtection="1">
      <alignment vertical="top" wrapText="1"/>
      <protection locked="0"/>
    </xf>
    <xf numFmtId="0" fontId="11" fillId="4" borderId="0" xfId="6" applyFont="1" applyFill="1" applyBorder="1" applyAlignment="1" applyProtection="1">
      <alignment vertical="top" wrapText="1"/>
      <protection hidden="1"/>
    </xf>
    <xf numFmtId="0" fontId="20" fillId="4" borderId="0" xfId="6" applyFont="1" applyFill="1" applyBorder="1" applyAlignment="1" applyProtection="1">
      <alignment vertical="top" wrapText="1"/>
      <protection hidden="1"/>
    </xf>
    <xf numFmtId="41" fontId="11" fillId="4" borderId="0" xfId="6" applyNumberFormat="1" applyFont="1" applyFill="1" applyBorder="1" applyAlignment="1" applyProtection="1">
      <alignment vertical="top" wrapText="1"/>
      <protection locked="0"/>
    </xf>
    <xf numFmtId="0" fontId="11" fillId="4" borderId="0" xfId="6" applyFont="1" applyFill="1" applyAlignment="1" applyProtection="1">
      <alignment vertical="top" wrapText="1"/>
      <protection hidden="1"/>
    </xf>
    <xf numFmtId="41" fontId="11" fillId="4" borderId="0" xfId="6" applyNumberFormat="1" applyFont="1" applyFill="1" applyAlignment="1" applyProtection="1">
      <alignment horizontal="right" wrapText="1"/>
      <protection hidden="1"/>
    </xf>
    <xf numFmtId="0" fontId="23" fillId="4" borderId="0" xfId="6" applyFont="1" applyFill="1" applyAlignment="1" applyProtection="1">
      <alignment horizontal="center" vertical="top" wrapText="1"/>
      <protection hidden="1"/>
    </xf>
    <xf numFmtId="41" fontId="11" fillId="4" borderId="0" xfId="6" applyNumberFormat="1" applyFont="1" applyFill="1" applyAlignment="1" applyProtection="1">
      <alignment horizontal="right" vertical="top" wrapText="1"/>
      <protection hidden="1"/>
    </xf>
    <xf numFmtId="41" fontId="11" fillId="4" borderId="0" xfId="6" applyNumberFormat="1" applyFont="1" applyFill="1" applyAlignment="1" applyProtection="1">
      <alignment vertical="top" wrapText="1"/>
      <protection locked="0"/>
    </xf>
    <xf numFmtId="0" fontId="0" fillId="4" borderId="0" xfId="0" applyFont="1" applyFill="1" applyAlignment="1" applyProtection="1">
      <alignment horizontal="left" vertical="top" wrapText="1"/>
      <protection hidden="1"/>
    </xf>
    <xf numFmtId="43" fontId="18" fillId="4" borderId="0" xfId="0" applyNumberFormat="1" applyFont="1" applyFill="1" applyAlignment="1" applyProtection="1">
      <alignment horizontal="left" vertical="top" wrapText="1"/>
      <protection hidden="1"/>
    </xf>
    <xf numFmtId="41" fontId="4"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hidden="1"/>
    </xf>
    <xf numFmtId="1" fontId="8" fillId="4" borderId="0" xfId="0" applyNumberFormat="1" applyFont="1" applyFill="1" applyAlignment="1" applyProtection="1">
      <alignment horizontal="left" vertical="top" wrapText="1"/>
      <protection locked="0"/>
    </xf>
    <xf numFmtId="0" fontId="11" fillId="4" borderId="0" xfId="2432" applyFont="1" applyFill="1" applyAlignment="1" applyProtection="1">
      <alignment vertical="top" wrapText="1"/>
      <protection hidden="1"/>
    </xf>
    <xf numFmtId="41" fontId="11" fillId="2" borderId="119" xfId="6" applyNumberFormat="1" applyFont="1" applyFill="1" applyBorder="1" applyAlignment="1" applyProtection="1">
      <alignment vertical="top"/>
      <protection locked="0"/>
    </xf>
    <xf numFmtId="42" fontId="6" fillId="4" borderId="120" xfId="6" applyNumberFormat="1" applyFont="1" applyFill="1" applyBorder="1" applyAlignment="1" applyProtection="1">
      <alignment horizontal="right" vertical="top"/>
      <protection hidden="1"/>
    </xf>
    <xf numFmtId="0" fontId="6" fillId="4" borderId="0" xfId="6" applyFont="1" applyFill="1" applyAlignment="1" applyProtection="1">
      <alignment horizontal="right" vertical="top" wrapText="1"/>
      <protection hidden="1"/>
    </xf>
    <xf numFmtId="41" fontId="11" fillId="4" borderId="115" xfId="6" applyNumberFormat="1" applyFont="1" applyFill="1" applyBorder="1" applyAlignment="1" applyProtection="1">
      <alignment horizontal="center" vertical="top" wrapText="1"/>
      <protection hidden="1"/>
    </xf>
    <xf numFmtId="173" fontId="3" fillId="4" borderId="0" xfId="0" applyNumberFormat="1" applyFont="1" applyFill="1" applyAlignment="1" applyProtection="1">
      <alignment horizontal="right" wrapText="1"/>
      <protection hidden="1"/>
    </xf>
    <xf numFmtId="41" fontId="11" fillId="4" borderId="119" xfId="6" applyNumberFormat="1" applyFont="1" applyFill="1" applyBorder="1" applyAlignment="1" applyProtection="1">
      <alignment horizontal="center" vertical="top" wrapText="1"/>
      <protection hidden="1"/>
    </xf>
    <xf numFmtId="173" fontId="20" fillId="4" borderId="119" xfId="0" applyNumberFormat="1" applyFont="1" applyFill="1" applyBorder="1" applyAlignment="1" applyProtection="1">
      <alignment vertical="top"/>
      <protection hidden="1"/>
    </xf>
    <xf numFmtId="173" fontId="22" fillId="4" borderId="119" xfId="0" applyNumberFormat="1" applyFont="1" applyFill="1" applyBorder="1" applyAlignment="1" applyProtection="1">
      <alignment horizontal="center" vertical="top"/>
      <protection hidden="1"/>
    </xf>
    <xf numFmtId="166" fontId="10" fillId="3" borderId="121" xfId="0" applyNumberFormat="1" applyFont="1" applyFill="1" applyBorder="1" applyAlignment="1" applyProtection="1">
      <alignment horizontal="center" vertical="top"/>
      <protection hidden="1"/>
    </xf>
    <xf numFmtId="43" fontId="10" fillId="3" borderId="122" xfId="0" applyNumberFormat="1" applyFont="1" applyFill="1" applyBorder="1" applyAlignment="1" applyProtection="1">
      <alignment vertical="top"/>
      <protection hidden="1"/>
    </xf>
    <xf numFmtId="166" fontId="10" fillId="65" borderId="92" xfId="0" applyNumberFormat="1" applyFont="1" applyFill="1" applyBorder="1" applyAlignment="1" applyProtection="1">
      <alignment horizontal="center" vertical="top"/>
      <protection hidden="1"/>
    </xf>
    <xf numFmtId="43" fontId="10" fillId="65" borderId="93" xfId="0" applyNumberFormat="1" applyFont="1" applyFill="1" applyBorder="1" applyAlignment="1" applyProtection="1">
      <alignment vertical="top"/>
      <protection hidden="1"/>
    </xf>
    <xf numFmtId="41" fontId="11" fillId="57" borderId="0" xfId="6" applyNumberFormat="1" applyFont="1" applyFill="1" applyAlignment="1" applyProtection="1">
      <alignment vertical="top"/>
      <protection hidden="1"/>
    </xf>
    <xf numFmtId="42" fontId="6" fillId="57" borderId="5"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wrapText="1"/>
      <protection hidden="1"/>
    </xf>
    <xf numFmtId="41" fontId="11" fillId="57" borderId="0" xfId="6" applyNumberFormat="1" applyFont="1" applyFill="1" applyAlignment="1" applyProtection="1">
      <alignment vertical="top" wrapText="1"/>
      <protection hidden="1"/>
    </xf>
    <xf numFmtId="41" fontId="11" fillId="57" borderId="0" xfId="6" applyNumberFormat="1" applyFont="1" applyFill="1" applyAlignment="1" applyProtection="1">
      <alignment horizontal="right" vertical="top"/>
      <protection hidden="1"/>
    </xf>
    <xf numFmtId="42" fontId="6" fillId="57" borderId="104" xfId="6" applyNumberFormat="1" applyFont="1" applyFill="1" applyBorder="1" applyAlignment="1" applyProtection="1">
      <alignment horizontal="right" vertical="top"/>
      <protection hidden="1"/>
    </xf>
    <xf numFmtId="42" fontId="6" fillId="57" borderId="103" xfId="6" applyNumberFormat="1" applyFont="1" applyFill="1" applyBorder="1" applyAlignment="1" applyProtection="1">
      <alignment horizontal="right" vertical="top"/>
      <protection hidden="1"/>
    </xf>
    <xf numFmtId="42" fontId="6" fillId="57" borderId="94" xfId="6" applyNumberFormat="1" applyFont="1" applyFill="1" applyBorder="1" applyAlignment="1" applyProtection="1">
      <alignment horizontal="right" vertical="top"/>
      <protection hidden="1"/>
    </xf>
    <xf numFmtId="42" fontId="6" fillId="57" borderId="0" xfId="6" applyNumberFormat="1" applyFont="1" applyFill="1" applyBorder="1" applyAlignment="1" applyProtection="1">
      <alignment horizontal="right" vertical="top"/>
      <protection hidden="1"/>
    </xf>
    <xf numFmtId="41" fontId="11" fillId="57" borderId="107" xfId="6" applyNumberFormat="1" applyFont="1" applyFill="1" applyBorder="1" applyAlignment="1" applyProtection="1">
      <alignment vertical="top"/>
      <protection hidden="1"/>
    </xf>
    <xf numFmtId="42" fontId="6" fillId="57" borderId="106" xfId="6" applyNumberFormat="1" applyFont="1" applyFill="1" applyBorder="1" applyAlignment="1" applyProtection="1">
      <alignment horizontal="right" vertical="top"/>
      <protection hidden="1"/>
    </xf>
    <xf numFmtId="0" fontId="6" fillId="4" borderId="0" xfId="6" applyFont="1" applyFill="1" applyBorder="1" applyAlignment="1" applyProtection="1">
      <alignment vertical="top" wrapText="1"/>
      <protection hidden="1"/>
    </xf>
    <xf numFmtId="173" fontId="20" fillId="4" borderId="123" xfId="0" applyNumberFormat="1" applyFont="1" applyFill="1" applyBorder="1" applyAlignment="1" applyProtection="1">
      <alignment vertical="top"/>
      <protection hidden="1"/>
    </xf>
    <xf numFmtId="166" fontId="0" fillId="4" borderId="0" xfId="0" applyNumberFormat="1" applyFont="1" applyFill="1" applyBorder="1" applyAlignment="1" applyProtection="1">
      <alignment horizontal="right" vertical="top"/>
      <protection hidden="1"/>
    </xf>
    <xf numFmtId="43" fontId="0" fillId="4" borderId="0" xfId="0" applyNumberFormat="1" applyFont="1" applyFill="1" applyBorder="1" applyAlignment="1" applyProtection="1">
      <alignment vertical="top"/>
      <protection hidden="1"/>
    </xf>
    <xf numFmtId="0" fontId="11" fillId="4" borderId="0" xfId="6" applyFont="1" applyFill="1" applyBorder="1" applyAlignment="1" applyProtection="1">
      <alignment horizontal="left" vertical="top" wrapText="1" indent="2"/>
      <protection hidden="1"/>
    </xf>
    <xf numFmtId="0" fontId="11" fillId="0" borderId="0" xfId="6" applyFont="1" applyFill="1" applyBorder="1" applyAlignment="1" applyProtection="1">
      <alignment vertical="top" wrapText="1"/>
      <protection hidden="1"/>
    </xf>
    <xf numFmtId="41" fontId="23" fillId="4" borderId="0" xfId="6" applyNumberFormat="1" applyFont="1" applyFill="1" applyAlignment="1" applyProtection="1">
      <alignment horizontal="center" vertical="top" wrapText="1"/>
      <protection hidden="1"/>
    </xf>
    <xf numFmtId="41" fontId="20" fillId="4" borderId="0" xfId="6" applyNumberFormat="1" applyFont="1" applyFill="1" applyAlignment="1" applyProtection="1">
      <alignment vertical="top" wrapText="1"/>
      <protection hidden="1"/>
    </xf>
    <xf numFmtId="166" fontId="11" fillId="2" borderId="123" xfId="0" applyNumberFormat="1" applyFont="1" applyFill="1" applyBorder="1" applyAlignment="1" applyProtection="1">
      <alignment vertical="top"/>
      <protection locked="0"/>
    </xf>
    <xf numFmtId="0" fontId="6" fillId="0" borderId="0" xfId="6" applyFont="1" applyFill="1" applyAlignment="1" applyProtection="1">
      <alignment horizontal="left" vertical="top" wrapText="1"/>
      <protection hidden="1"/>
    </xf>
    <xf numFmtId="0" fontId="0" fillId="4" borderId="0" xfId="0" applyFill="1" applyAlignment="1" applyProtection="1">
      <alignment horizontal="left" indent="3"/>
      <protection hidden="1"/>
    </xf>
    <xf numFmtId="0" fontId="11" fillId="4" borderId="0" xfId="6" applyFont="1" applyFill="1" applyAlignment="1" applyProtection="1">
      <alignment horizontal="left" vertical="top" wrapText="1" indent="3"/>
      <protection hidden="1"/>
    </xf>
    <xf numFmtId="0" fontId="11" fillId="4" borderId="0" xfId="0" applyFont="1" applyFill="1" applyBorder="1" applyAlignment="1" applyProtection="1">
      <alignment horizontal="left" indent="3"/>
      <protection hidden="1"/>
    </xf>
    <xf numFmtId="0" fontId="6" fillId="0" borderId="0" xfId="6" applyFont="1" applyFill="1" applyAlignment="1" applyProtection="1">
      <alignment vertical="top" wrapText="1"/>
      <protection hidden="1"/>
    </xf>
    <xf numFmtId="41" fontId="11" fillId="4" borderId="17" xfId="6" applyNumberFormat="1" applyFont="1" applyFill="1" applyBorder="1" applyAlignment="1" applyProtection="1">
      <alignment horizontal="right"/>
      <protection hidden="1"/>
    </xf>
    <xf numFmtId="0" fontId="0" fillId="4" borderId="0" xfId="0" applyFill="1" applyAlignment="1" applyProtection="1">
      <alignment horizontal="left" indent="2"/>
      <protection hidden="1"/>
    </xf>
    <xf numFmtId="0" fontId="11" fillId="4" borderId="0" xfId="0" applyFont="1" applyFill="1" applyBorder="1" applyAlignment="1" applyProtection="1">
      <alignment horizontal="left" indent="2"/>
      <protection hidden="1"/>
    </xf>
    <xf numFmtId="42" fontId="6" fillId="57" borderId="120" xfId="6" applyNumberFormat="1" applyFont="1" applyFill="1" applyBorder="1" applyAlignment="1" applyProtection="1">
      <alignment horizontal="right" vertical="top"/>
      <protection hidden="1"/>
    </xf>
    <xf numFmtId="42" fontId="6" fillId="57" borderId="34" xfId="6" applyNumberFormat="1" applyFont="1" applyFill="1" applyBorder="1" applyAlignment="1" applyProtection="1">
      <alignment horizontal="right" vertical="top"/>
      <protection hidden="1"/>
    </xf>
    <xf numFmtId="41" fontId="11" fillId="4" borderId="0" xfId="6" applyNumberFormat="1" applyFont="1" applyFill="1" applyBorder="1" applyAlignment="1" applyProtection="1">
      <protection hidden="1"/>
    </xf>
    <xf numFmtId="42" fontId="6" fillId="4" borderId="124" xfId="6" applyNumberFormat="1" applyFont="1" applyFill="1" applyBorder="1" applyAlignment="1" applyProtection="1">
      <alignment horizontal="right" vertical="top"/>
      <protection hidden="1"/>
    </xf>
    <xf numFmtId="0" fontId="6" fillId="4" borderId="0" xfId="6" applyFont="1" applyFill="1" applyBorder="1" applyAlignment="1" applyProtection="1">
      <alignment horizontal="left" vertical="top" wrapText="1"/>
      <protection hidden="1"/>
    </xf>
    <xf numFmtId="42" fontId="6" fillId="4" borderId="125" xfId="6" applyNumberFormat="1" applyFont="1" applyFill="1" applyBorder="1" applyAlignment="1" applyProtection="1">
      <alignment horizontal="right" vertical="top"/>
      <protection hidden="1"/>
    </xf>
    <xf numFmtId="42" fontId="6" fillId="4" borderId="126" xfId="6" applyNumberFormat="1" applyFont="1" applyFill="1" applyBorder="1" applyAlignment="1" applyProtection="1">
      <alignment horizontal="right" vertical="top"/>
      <protection hidden="1"/>
    </xf>
    <xf numFmtId="0" fontId="11" fillId="4" borderId="0" xfId="6" applyFont="1" applyFill="1" applyBorder="1" applyProtection="1">
      <protection hidden="1"/>
    </xf>
    <xf numFmtId="41" fontId="11" fillId="4" borderId="47" xfId="6" applyNumberFormat="1" applyFont="1" applyFill="1" applyBorder="1" applyAlignment="1" applyProtection="1">
      <alignment horizontal="right" vertical="top"/>
      <protection hidden="1"/>
    </xf>
    <xf numFmtId="41" fontId="15" fillId="4" borderId="0" xfId="0" applyNumberFormat="1" applyFont="1" applyFill="1" applyBorder="1" applyAlignment="1" applyProtection="1">
      <alignment horizontal="center" vertical="top"/>
      <protection hidden="1"/>
    </xf>
    <xf numFmtId="0" fontId="96" fillId="66" borderId="66" xfId="0" applyFont="1" applyFill="1" applyBorder="1" applyAlignment="1" applyProtection="1">
      <protection hidden="1"/>
    </xf>
    <xf numFmtId="0" fontId="96" fillId="66" borderId="15" xfId="0" applyFont="1" applyFill="1" applyBorder="1" applyAlignment="1" applyProtection="1">
      <alignment vertical="top"/>
      <protection hidden="1"/>
    </xf>
    <xf numFmtId="0" fontId="97" fillId="66" borderId="105" xfId="0" applyFont="1" applyFill="1" applyBorder="1" applyAlignment="1" applyProtection="1">
      <alignment horizontal="left" vertical="top"/>
      <protection hidden="1"/>
    </xf>
    <xf numFmtId="0" fontId="97" fillId="66" borderId="16" xfId="0" applyFont="1" applyFill="1" applyBorder="1" applyProtection="1">
      <protection hidden="1"/>
    </xf>
    <xf numFmtId="0" fontId="97" fillId="66" borderId="16" xfId="0" applyFont="1" applyFill="1" applyBorder="1" applyAlignment="1" applyProtection="1">
      <alignment vertical="top"/>
      <protection hidden="1"/>
    </xf>
    <xf numFmtId="41" fontId="11" fillId="4" borderId="0" xfId="6" applyNumberFormat="1" applyFont="1" applyFill="1" applyAlignment="1" applyProtection="1">
      <alignment wrapText="1"/>
      <protection hidden="1"/>
    </xf>
    <xf numFmtId="41" fontId="11" fillId="4" borderId="0" xfId="6" applyNumberFormat="1" applyFont="1" applyFill="1" applyBorder="1" applyAlignment="1" applyProtection="1">
      <alignment horizontal="right" vertical="top" wrapText="1"/>
      <protection locked="0"/>
    </xf>
    <xf numFmtId="42" fontId="6" fillId="4" borderId="0" xfId="6" applyNumberFormat="1" applyFont="1" applyFill="1" applyBorder="1" applyAlignment="1" applyProtection="1">
      <alignment horizontal="right" vertical="top" wrapText="1"/>
      <protection locked="0"/>
    </xf>
    <xf numFmtId="0" fontId="0" fillId="4" borderId="0" xfId="0" applyFont="1" applyFill="1" applyAlignment="1" applyProtection="1">
      <alignment horizontal="left" vertical="top" wrapText="1"/>
      <protection locked="0"/>
    </xf>
    <xf numFmtId="3" fontId="11" fillId="4" borderId="0" xfId="6" applyNumberFormat="1" applyFont="1" applyFill="1" applyAlignment="1" applyProtection="1">
      <alignment horizontal="left" vertical="top" wrapText="1" indent="2"/>
      <protection hidden="1"/>
    </xf>
    <xf numFmtId="166" fontId="11" fillId="2" borderId="16" xfId="0" applyNumberFormat="1" applyFont="1" applyFill="1" applyBorder="1" applyAlignment="1" applyProtection="1">
      <alignment horizontal="right" vertical="top"/>
    </xf>
    <xf numFmtId="43" fontId="0" fillId="2" borderId="1" xfId="0" applyNumberFormat="1" applyFont="1" applyFill="1" applyBorder="1" applyAlignment="1" applyProtection="1">
      <alignment horizontal="right" vertical="top"/>
    </xf>
    <xf numFmtId="10" fontId="11" fillId="0" borderId="90" xfId="1" applyNumberFormat="1" applyFont="1" applyFill="1" applyBorder="1" applyAlignment="1" applyProtection="1">
      <alignment horizontal="right" vertical="top"/>
    </xf>
    <xf numFmtId="0" fontId="20" fillId="4" borderId="66" xfId="0" applyNumberFormat="1" applyFont="1" applyFill="1" applyBorder="1" applyAlignment="1" applyProtection="1">
      <alignment vertical="top"/>
      <protection hidden="1"/>
    </xf>
    <xf numFmtId="1" fontId="8" fillId="4" borderId="0" xfId="0" applyNumberFormat="1" applyFont="1" applyFill="1" applyAlignment="1" applyProtection="1">
      <alignment horizontal="left" vertical="top" wrapText="1"/>
    </xf>
    <xf numFmtId="0" fontId="91" fillId="4" borderId="0" xfId="90" applyFont="1" applyFill="1" applyBorder="1" applyAlignment="1" applyProtection="1">
      <alignment horizontal="left" vertical="top"/>
    </xf>
    <xf numFmtId="0" fontId="88" fillId="4" borderId="0" xfId="1062" applyFont="1" applyFill="1" applyBorder="1" applyAlignment="1" applyProtection="1">
      <alignment horizontal="center" vertical="top" wrapText="1"/>
    </xf>
    <xf numFmtId="0" fontId="87" fillId="60" borderId="127" xfId="1062" applyFont="1" applyFill="1" applyBorder="1" applyAlignment="1" applyProtection="1">
      <alignment horizontal="center"/>
      <protection locked="0"/>
    </xf>
    <xf numFmtId="0" fontId="87" fillId="60" borderId="128" xfId="1062" applyFont="1" applyFill="1" applyBorder="1" applyAlignment="1" applyProtection="1">
      <alignment horizontal="center"/>
      <protection locked="0"/>
    </xf>
    <xf numFmtId="0" fontId="80" fillId="4" borderId="28" xfId="1062" applyFont="1" applyFill="1" applyBorder="1" applyAlignment="1" applyProtection="1">
      <alignment horizontal="center"/>
      <protection hidden="1"/>
    </xf>
    <xf numFmtId="0" fontId="80" fillId="4" borderId="29" xfId="1062" applyFont="1" applyFill="1" applyBorder="1" applyAlignment="1" applyProtection="1">
      <alignment horizontal="center"/>
      <protection hidden="1"/>
    </xf>
    <xf numFmtId="0" fontId="75" fillId="66" borderId="69" xfId="0" applyFont="1" applyFill="1" applyBorder="1" applyAlignment="1" applyProtection="1">
      <alignment horizontal="center" vertical="top"/>
      <protection hidden="1"/>
    </xf>
    <xf numFmtId="0" fontId="75" fillId="66" borderId="70" xfId="0" applyFont="1" applyFill="1" applyBorder="1" applyAlignment="1" applyProtection="1">
      <alignment horizontal="center" vertical="top"/>
      <protection hidden="1"/>
    </xf>
    <xf numFmtId="0" fontId="80" fillId="4" borderId="28" xfId="2432" applyFont="1" applyFill="1" applyBorder="1" applyAlignment="1" applyProtection="1">
      <alignment horizontal="center" vertical="center" wrapText="1"/>
      <protection hidden="1"/>
    </xf>
    <xf numFmtId="0" fontId="80" fillId="4" borderId="100" xfId="2432" applyFont="1" applyFill="1" applyBorder="1" applyAlignment="1" applyProtection="1">
      <alignment horizontal="center" vertical="center" wrapText="1"/>
      <protection hidden="1"/>
    </xf>
    <xf numFmtId="0" fontId="83" fillId="66" borderId="35" xfId="2432" applyFont="1" applyFill="1" applyBorder="1" applyAlignment="1" applyProtection="1">
      <alignment horizontal="center" vertical="top"/>
      <protection hidden="1"/>
    </xf>
    <xf numFmtId="0" fontId="83" fillId="66" borderId="36" xfId="2432" applyFont="1" applyFill="1" applyBorder="1" applyAlignment="1" applyProtection="1">
      <alignment horizontal="center" vertical="top"/>
      <protection hidden="1"/>
    </xf>
    <xf numFmtId="0" fontId="83" fillId="66" borderId="37" xfId="2432" applyFont="1" applyFill="1" applyBorder="1" applyAlignment="1" applyProtection="1">
      <alignment horizontal="center" vertical="top"/>
      <protection hidden="1"/>
    </xf>
    <xf numFmtId="0" fontId="6" fillId="61" borderId="64" xfId="2432" applyFont="1" applyFill="1" applyBorder="1" applyAlignment="1" applyProtection="1">
      <alignment horizontal="center" vertical="top" wrapText="1"/>
      <protection hidden="1"/>
    </xf>
    <xf numFmtId="0" fontId="6" fillId="61" borderId="63" xfId="2432" applyFont="1" applyFill="1" applyBorder="1" applyAlignment="1" applyProtection="1">
      <alignment horizontal="center" vertical="top" wrapText="1"/>
      <protection hidden="1"/>
    </xf>
    <xf numFmtId="0" fontId="6" fillId="4" borderId="41" xfId="2432" applyFont="1" applyFill="1" applyBorder="1" applyAlignment="1" applyProtection="1">
      <alignment horizontal="center" vertical="top" wrapText="1"/>
      <protection hidden="1"/>
    </xf>
    <xf numFmtId="0" fontId="6" fillId="4" borderId="46" xfId="2432" applyFont="1" applyFill="1" applyBorder="1" applyAlignment="1" applyProtection="1">
      <alignment horizontal="center" vertical="top" wrapText="1"/>
      <protection hidden="1"/>
    </xf>
    <xf numFmtId="0" fontId="6" fillId="59" borderId="108" xfId="2432" applyFont="1" applyFill="1" applyBorder="1" applyAlignment="1" applyProtection="1">
      <alignment horizontal="center" vertical="top" wrapText="1"/>
      <protection hidden="1"/>
    </xf>
    <xf numFmtId="0" fontId="6" fillId="59" borderId="64" xfId="2432" applyFont="1" applyFill="1" applyBorder="1" applyAlignment="1" applyProtection="1">
      <alignment horizontal="center" vertical="top" wrapText="1"/>
      <protection hidden="1"/>
    </xf>
    <xf numFmtId="0" fontId="6" fillId="59" borderId="109" xfId="2432" applyFont="1" applyFill="1" applyBorder="1" applyAlignment="1" applyProtection="1">
      <alignment horizontal="center" vertical="top" wrapText="1"/>
      <protection hidden="1"/>
    </xf>
    <xf numFmtId="0" fontId="6" fillId="4" borderId="96" xfId="2432" applyFont="1" applyFill="1" applyBorder="1" applyAlignment="1" applyProtection="1">
      <alignment horizontal="center" vertical="top"/>
      <protection hidden="1"/>
    </xf>
    <xf numFmtId="0" fontId="6" fillId="4" borderId="97" xfId="2432" applyFont="1" applyFill="1" applyBorder="1" applyAlignment="1" applyProtection="1">
      <alignment horizontal="center" vertical="top"/>
      <protection hidden="1"/>
    </xf>
    <xf numFmtId="0" fontId="6" fillId="4" borderId="98" xfId="2432" applyFont="1" applyFill="1" applyBorder="1" applyAlignment="1" applyProtection="1">
      <alignment horizontal="center" vertical="top"/>
      <protection hidden="1"/>
    </xf>
    <xf numFmtId="0" fontId="80" fillId="4" borderId="19" xfId="2432" applyFont="1" applyFill="1" applyBorder="1" applyAlignment="1" applyProtection="1">
      <alignment horizontal="center" vertical="center" wrapText="1"/>
      <protection hidden="1"/>
    </xf>
    <xf numFmtId="0" fontId="80" fillId="4" borderId="19"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protection hidden="1"/>
    </xf>
    <xf numFmtId="0" fontId="80" fillId="4" borderId="45" xfId="2432" applyFont="1" applyFill="1" applyBorder="1" applyAlignment="1" applyProtection="1">
      <alignment horizontal="center" vertical="center" wrapText="1"/>
      <protection hidden="1"/>
    </xf>
    <xf numFmtId="0" fontId="75" fillId="66" borderId="112" xfId="0" applyFont="1" applyFill="1" applyBorder="1" applyAlignment="1" applyProtection="1">
      <alignment horizontal="center" vertical="top"/>
      <protection hidden="1"/>
    </xf>
    <xf numFmtId="0" fontId="75" fillId="66" borderId="113" xfId="0" applyFont="1" applyFill="1" applyBorder="1" applyAlignment="1" applyProtection="1">
      <alignment horizontal="center" vertical="top"/>
      <protection hidden="1"/>
    </xf>
    <xf numFmtId="0" fontId="75" fillId="66" borderId="114" xfId="0" applyFont="1" applyFill="1" applyBorder="1" applyAlignment="1" applyProtection="1">
      <alignment horizontal="center" vertical="top"/>
      <protection hidden="1"/>
    </xf>
    <xf numFmtId="41" fontId="15" fillId="4" borderId="73" xfId="0" applyNumberFormat="1" applyFont="1" applyFill="1" applyBorder="1" applyAlignment="1" applyProtection="1">
      <alignment horizontal="center" vertical="top" wrapText="1"/>
      <protection hidden="1"/>
    </xf>
    <xf numFmtId="41" fontId="15" fillId="4" borderId="74" xfId="0" applyNumberFormat="1" applyFont="1" applyFill="1" applyBorder="1" applyAlignment="1" applyProtection="1">
      <alignment horizontal="center" vertical="top" wrapText="1"/>
      <protection hidden="1"/>
    </xf>
    <xf numFmtId="41" fontId="15" fillId="4" borderId="91" xfId="0" applyNumberFormat="1" applyFont="1" applyFill="1" applyBorder="1" applyAlignment="1" applyProtection="1">
      <alignment horizontal="center" vertical="top" wrapText="1"/>
      <protection hidden="1"/>
    </xf>
    <xf numFmtId="41" fontId="15" fillId="4" borderId="30" xfId="0" applyNumberFormat="1" applyFont="1" applyFill="1" applyBorder="1" applyAlignment="1" applyProtection="1">
      <alignment horizontal="center" vertical="top" wrapText="1"/>
      <protection hidden="1"/>
    </xf>
    <xf numFmtId="43" fontId="84" fillId="6" borderId="110" xfId="0" applyNumberFormat="1" applyFont="1" applyFill="1" applyBorder="1" applyAlignment="1" applyProtection="1">
      <alignment horizontal="center" vertical="top" wrapText="1"/>
      <protection hidden="1"/>
    </xf>
    <xf numFmtId="43" fontId="84" fillId="6" borderId="65" xfId="0" applyNumberFormat="1" applyFont="1" applyFill="1" applyBorder="1" applyAlignment="1" applyProtection="1">
      <alignment horizontal="center" vertical="top" wrapText="1"/>
      <protection hidden="1"/>
    </xf>
    <xf numFmtId="43" fontId="84" fillId="6" borderId="111" xfId="0" applyNumberFormat="1" applyFont="1" applyFill="1" applyBorder="1" applyAlignment="1" applyProtection="1">
      <alignment horizontal="center" vertical="top" wrapText="1"/>
      <protection hidden="1"/>
    </xf>
    <xf numFmtId="43" fontId="84" fillId="6" borderId="63" xfId="0" applyNumberFormat="1" applyFont="1" applyFill="1" applyBorder="1" applyAlignment="1" applyProtection="1">
      <alignment horizontal="center" vertical="top" wrapText="1"/>
      <protection hidden="1"/>
    </xf>
    <xf numFmtId="43" fontId="84" fillId="6" borderId="47" xfId="0" applyNumberFormat="1" applyFont="1" applyFill="1" applyBorder="1" applyAlignment="1" applyProtection="1">
      <alignment horizontal="center" vertical="top" wrapText="1"/>
      <protection hidden="1"/>
    </xf>
    <xf numFmtId="43" fontId="84" fillId="6" borderId="77" xfId="0" applyNumberFormat="1" applyFont="1" applyFill="1" applyBorder="1" applyAlignment="1" applyProtection="1">
      <alignment horizontal="center" vertical="top" wrapText="1"/>
      <protection hidden="1"/>
    </xf>
    <xf numFmtId="43" fontId="85" fillId="6" borderId="110" xfId="0" applyNumberFormat="1" applyFont="1" applyFill="1" applyBorder="1" applyAlignment="1" applyProtection="1">
      <alignment horizontal="center" vertical="top" wrapText="1"/>
      <protection hidden="1"/>
    </xf>
    <xf numFmtId="43" fontId="85" fillId="6" borderId="65" xfId="0" applyNumberFormat="1" applyFont="1" applyFill="1" applyBorder="1" applyAlignment="1" applyProtection="1">
      <alignment horizontal="center" vertical="top" wrapText="1"/>
      <protection hidden="1"/>
    </xf>
    <xf numFmtId="43" fontId="85" fillId="6" borderId="111" xfId="0" applyNumberFormat="1" applyFont="1" applyFill="1" applyBorder="1" applyAlignment="1" applyProtection="1">
      <alignment horizontal="center" vertical="top" wrapText="1"/>
      <protection hidden="1"/>
    </xf>
    <xf numFmtId="43" fontId="85" fillId="6" borderId="63" xfId="0" applyNumberFormat="1" applyFont="1" applyFill="1" applyBorder="1" applyAlignment="1" applyProtection="1">
      <alignment horizontal="center" vertical="top" wrapText="1"/>
      <protection hidden="1"/>
    </xf>
    <xf numFmtId="43" fontId="85" fillId="6" borderId="47" xfId="0" applyNumberFormat="1" applyFont="1" applyFill="1" applyBorder="1" applyAlignment="1" applyProtection="1">
      <alignment horizontal="center" vertical="top" wrapText="1"/>
      <protection hidden="1"/>
    </xf>
    <xf numFmtId="43" fontId="85" fillId="6" borderId="77" xfId="0"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protection hidden="1"/>
    </xf>
    <xf numFmtId="41" fontId="79" fillId="4" borderId="0" xfId="0" applyNumberFormat="1" applyFont="1" applyFill="1" applyBorder="1" applyAlignment="1" applyProtection="1">
      <alignment horizontal="center" vertical="top"/>
      <protection hidden="1"/>
    </xf>
    <xf numFmtId="41" fontId="11" fillId="4" borderId="67" xfId="6" applyNumberFormat="1" applyFont="1" applyFill="1" applyBorder="1" applyAlignment="1" applyProtection="1">
      <alignment horizontal="center" vertical="top" wrapText="1"/>
      <protection hidden="1"/>
    </xf>
    <xf numFmtId="41" fontId="11" fillId="4" borderId="64" xfId="6" applyNumberFormat="1" applyFont="1" applyFill="1" applyBorder="1" applyAlignment="1" applyProtection="1">
      <alignment horizontal="center" vertical="top" wrapText="1"/>
      <protection hidden="1"/>
    </xf>
    <xf numFmtId="41" fontId="15" fillId="4" borderId="0" xfId="0" applyNumberFormat="1" applyFont="1" applyFill="1" applyBorder="1" applyAlignment="1" applyProtection="1">
      <alignment horizontal="center" vertical="top" wrapText="1"/>
      <protection hidden="1"/>
    </xf>
    <xf numFmtId="41" fontId="86" fillId="4" borderId="0" xfId="6" applyNumberFormat="1" applyFont="1" applyFill="1" applyAlignment="1" applyProtection="1">
      <alignment horizontal="center" vertical="top"/>
      <protection hidden="1"/>
    </xf>
  </cellXfs>
  <cellStyles count="2440">
    <cellStyle name="20% - Accent1 2" xfId="97"/>
    <cellStyle name="20% - Accent1 2 2" xfId="98"/>
    <cellStyle name="20% - Accent2 2" xfId="99"/>
    <cellStyle name="20% - Accent2 2 2" xfId="100"/>
    <cellStyle name="20% - Accent3 2" xfId="101"/>
    <cellStyle name="20% - Accent3 2 2" xfId="102"/>
    <cellStyle name="20% - Accent4 2" xfId="103"/>
    <cellStyle name="20% - Accent4 2 2" xfId="104"/>
    <cellStyle name="20% - Accent5 2" xfId="105"/>
    <cellStyle name="20% - Accent5 2 2" xfId="106"/>
    <cellStyle name="20% - Accent6 2" xfId="107"/>
    <cellStyle name="20% - Accent6 2 2" xfId="108"/>
    <cellStyle name="20% - akcent 1" xfId="109"/>
    <cellStyle name="20% - akcent 2" xfId="110"/>
    <cellStyle name="20% - akcent 3" xfId="111"/>
    <cellStyle name="20% - akcent 4" xfId="112"/>
    <cellStyle name="20% - akcent 5" xfId="113"/>
    <cellStyle name="20% - akcent 6" xfId="114"/>
    <cellStyle name="40% - Accent1 2" xfId="115"/>
    <cellStyle name="40% - Accent1 2 2" xfId="116"/>
    <cellStyle name="40% - Accent2 2" xfId="117"/>
    <cellStyle name="40% - Accent2 2 2" xfId="118"/>
    <cellStyle name="40% - Accent3 2" xfId="119"/>
    <cellStyle name="40% - Accent3 2 2" xfId="120"/>
    <cellStyle name="40% - Accent4 2" xfId="121"/>
    <cellStyle name="40% - Accent4 2 2" xfId="122"/>
    <cellStyle name="40% - Accent5 2" xfId="123"/>
    <cellStyle name="40% - Accent5 2 2" xfId="124"/>
    <cellStyle name="40% - Accent6 2" xfId="125"/>
    <cellStyle name="40% - Accent6 2 2" xfId="126"/>
    <cellStyle name="40% - akcent 1" xfId="127"/>
    <cellStyle name="40% - akcent 2" xfId="128"/>
    <cellStyle name="40% - akcent 3" xfId="129"/>
    <cellStyle name="40% - akcent 4" xfId="130"/>
    <cellStyle name="40% - akcent 5" xfId="131"/>
    <cellStyle name="40% - akcent 6" xfId="132"/>
    <cellStyle name="60% - Accent1 2" xfId="133"/>
    <cellStyle name="60% - Accent1 2 2" xfId="134"/>
    <cellStyle name="60% - Accent2 2" xfId="135"/>
    <cellStyle name="60% - Accent2 2 2" xfId="136"/>
    <cellStyle name="60% - Accent3 2" xfId="137"/>
    <cellStyle name="60% - Accent3 2 2" xfId="138"/>
    <cellStyle name="60% - Accent4 2" xfId="139"/>
    <cellStyle name="60% - Accent4 2 2" xfId="140"/>
    <cellStyle name="60% - Accent5 2" xfId="141"/>
    <cellStyle name="60% - Accent5 2 2" xfId="142"/>
    <cellStyle name="60% - Accent6 2" xfId="143"/>
    <cellStyle name="60% - Accent6 2 2" xfId="144"/>
    <cellStyle name="60% - akcent 1" xfId="145"/>
    <cellStyle name="60% - akcent 2" xfId="146"/>
    <cellStyle name="60% - akcent 3" xfId="147"/>
    <cellStyle name="60% - akcent 4" xfId="148"/>
    <cellStyle name="60% - akcent 5" xfId="149"/>
    <cellStyle name="60% - akcent 6" xfId="150"/>
    <cellStyle name="Accent1 2" xfId="151"/>
    <cellStyle name="Accent1 2 2" xfId="152"/>
    <cellStyle name="Accent2 2" xfId="153"/>
    <cellStyle name="Accent2 2 2" xfId="154"/>
    <cellStyle name="Accent3 2" xfId="155"/>
    <cellStyle name="Accent3 2 2" xfId="156"/>
    <cellStyle name="Accent4 2" xfId="157"/>
    <cellStyle name="Accent4 2 2" xfId="158"/>
    <cellStyle name="Accent5 2" xfId="159"/>
    <cellStyle name="Accent5 2 2" xfId="160"/>
    <cellStyle name="Accent6 2" xfId="161"/>
    <cellStyle name="Accent6 2 2" xfId="162"/>
    <cellStyle name="Akcent 1" xfId="163"/>
    <cellStyle name="Akcent 2" xfId="164"/>
    <cellStyle name="Akcent 3" xfId="165"/>
    <cellStyle name="Akcent 4" xfId="166"/>
    <cellStyle name="Akcent 5" xfId="167"/>
    <cellStyle name="Akcent 6" xfId="168"/>
    <cellStyle name="Bad 2" xfId="169"/>
    <cellStyle name="Bad 2 2" xfId="170"/>
    <cellStyle name="BottomTotalRow1" xfId="171"/>
    <cellStyle name="Calculation 2" xfId="172"/>
    <cellStyle name="Calculation 2 10" xfId="173"/>
    <cellStyle name="Calculation 2 10 10" xfId="174"/>
    <cellStyle name="Calculation 2 10 11" xfId="175"/>
    <cellStyle name="Calculation 2 10 12" xfId="176"/>
    <cellStyle name="Calculation 2 10 13" xfId="177"/>
    <cellStyle name="Calculation 2 10 14" xfId="178"/>
    <cellStyle name="Calculation 2 10 15" xfId="179"/>
    <cellStyle name="Calculation 2 10 16" xfId="180"/>
    <cellStyle name="Calculation 2 10 17" xfId="181"/>
    <cellStyle name="Calculation 2 10 18" xfId="182"/>
    <cellStyle name="Calculation 2 10 19" xfId="183"/>
    <cellStyle name="Calculation 2 10 2" xfId="184"/>
    <cellStyle name="Calculation 2 10 20" xfId="185"/>
    <cellStyle name="Calculation 2 10 21" xfId="186"/>
    <cellStyle name="Calculation 2 10 22" xfId="187"/>
    <cellStyle name="Calculation 2 10 23" xfId="188"/>
    <cellStyle name="Calculation 2 10 3" xfId="189"/>
    <cellStyle name="Calculation 2 10 4" xfId="190"/>
    <cellStyle name="Calculation 2 10 5" xfId="191"/>
    <cellStyle name="Calculation 2 10 6" xfId="192"/>
    <cellStyle name="Calculation 2 10 7" xfId="193"/>
    <cellStyle name="Calculation 2 10 8" xfId="194"/>
    <cellStyle name="Calculation 2 10 9" xfId="195"/>
    <cellStyle name="Calculation 2 11" xfId="196"/>
    <cellStyle name="Calculation 2 11 10" xfId="197"/>
    <cellStyle name="Calculation 2 11 11" xfId="198"/>
    <cellStyle name="Calculation 2 11 12" xfId="199"/>
    <cellStyle name="Calculation 2 11 13" xfId="200"/>
    <cellStyle name="Calculation 2 11 14" xfId="201"/>
    <cellStyle name="Calculation 2 11 15" xfId="202"/>
    <cellStyle name="Calculation 2 11 16" xfId="203"/>
    <cellStyle name="Calculation 2 11 17" xfId="204"/>
    <cellStyle name="Calculation 2 11 18" xfId="205"/>
    <cellStyle name="Calculation 2 11 19" xfId="206"/>
    <cellStyle name="Calculation 2 11 2" xfId="207"/>
    <cellStyle name="Calculation 2 11 20" xfId="208"/>
    <cellStyle name="Calculation 2 11 21" xfId="209"/>
    <cellStyle name="Calculation 2 11 22" xfId="210"/>
    <cellStyle name="Calculation 2 11 23" xfId="211"/>
    <cellStyle name="Calculation 2 11 3" xfId="212"/>
    <cellStyle name="Calculation 2 11 4" xfId="213"/>
    <cellStyle name="Calculation 2 11 5" xfId="214"/>
    <cellStyle name="Calculation 2 11 6" xfId="215"/>
    <cellStyle name="Calculation 2 11 7" xfId="216"/>
    <cellStyle name="Calculation 2 11 8" xfId="217"/>
    <cellStyle name="Calculation 2 11 9" xfId="218"/>
    <cellStyle name="Calculation 2 12" xfId="219"/>
    <cellStyle name="Calculation 2 12 10" xfId="220"/>
    <cellStyle name="Calculation 2 12 11" xfId="221"/>
    <cellStyle name="Calculation 2 12 12" xfId="222"/>
    <cellStyle name="Calculation 2 12 13" xfId="223"/>
    <cellStyle name="Calculation 2 12 14" xfId="224"/>
    <cellStyle name="Calculation 2 12 15" xfId="225"/>
    <cellStyle name="Calculation 2 12 16" xfId="226"/>
    <cellStyle name="Calculation 2 12 17" xfId="227"/>
    <cellStyle name="Calculation 2 12 18" xfId="228"/>
    <cellStyle name="Calculation 2 12 19" xfId="229"/>
    <cellStyle name="Calculation 2 12 2" xfId="230"/>
    <cellStyle name="Calculation 2 12 20" xfId="231"/>
    <cellStyle name="Calculation 2 12 21" xfId="232"/>
    <cellStyle name="Calculation 2 12 22" xfId="233"/>
    <cellStyle name="Calculation 2 12 23" xfId="234"/>
    <cellStyle name="Calculation 2 12 3" xfId="235"/>
    <cellStyle name="Calculation 2 12 4" xfId="236"/>
    <cellStyle name="Calculation 2 12 5" xfId="237"/>
    <cellStyle name="Calculation 2 12 6" xfId="238"/>
    <cellStyle name="Calculation 2 12 7" xfId="239"/>
    <cellStyle name="Calculation 2 12 8" xfId="240"/>
    <cellStyle name="Calculation 2 12 9" xfId="241"/>
    <cellStyle name="Calculation 2 13" xfId="242"/>
    <cellStyle name="Calculation 2 13 10" xfId="243"/>
    <cellStyle name="Calculation 2 13 11" xfId="244"/>
    <cellStyle name="Calculation 2 13 12" xfId="245"/>
    <cellStyle name="Calculation 2 13 13" xfId="246"/>
    <cellStyle name="Calculation 2 13 14" xfId="247"/>
    <cellStyle name="Calculation 2 13 15" xfId="248"/>
    <cellStyle name="Calculation 2 13 16" xfId="249"/>
    <cellStyle name="Calculation 2 13 17" xfId="250"/>
    <cellStyle name="Calculation 2 13 18" xfId="251"/>
    <cellStyle name="Calculation 2 13 19" xfId="252"/>
    <cellStyle name="Calculation 2 13 2" xfId="253"/>
    <cellStyle name="Calculation 2 13 20" xfId="254"/>
    <cellStyle name="Calculation 2 13 21" xfId="255"/>
    <cellStyle name="Calculation 2 13 22" xfId="256"/>
    <cellStyle name="Calculation 2 13 23" xfId="257"/>
    <cellStyle name="Calculation 2 13 3" xfId="258"/>
    <cellStyle name="Calculation 2 13 4" xfId="259"/>
    <cellStyle name="Calculation 2 13 5" xfId="260"/>
    <cellStyle name="Calculation 2 13 6" xfId="261"/>
    <cellStyle name="Calculation 2 13 7" xfId="262"/>
    <cellStyle name="Calculation 2 13 8" xfId="263"/>
    <cellStyle name="Calculation 2 13 9" xfId="264"/>
    <cellStyle name="Calculation 2 14" xfId="265"/>
    <cellStyle name="Calculation 2 14 10" xfId="266"/>
    <cellStyle name="Calculation 2 14 11" xfId="267"/>
    <cellStyle name="Calculation 2 14 12" xfId="268"/>
    <cellStyle name="Calculation 2 14 13" xfId="269"/>
    <cellStyle name="Calculation 2 14 14" xfId="270"/>
    <cellStyle name="Calculation 2 14 15" xfId="271"/>
    <cellStyle name="Calculation 2 14 16" xfId="272"/>
    <cellStyle name="Calculation 2 14 17" xfId="273"/>
    <cellStyle name="Calculation 2 14 18" xfId="274"/>
    <cellStyle name="Calculation 2 14 19" xfId="275"/>
    <cellStyle name="Calculation 2 14 2" xfId="276"/>
    <cellStyle name="Calculation 2 14 20" xfId="277"/>
    <cellStyle name="Calculation 2 14 21" xfId="278"/>
    <cellStyle name="Calculation 2 14 22" xfId="279"/>
    <cellStyle name="Calculation 2 14 23" xfId="280"/>
    <cellStyle name="Calculation 2 14 3" xfId="281"/>
    <cellStyle name="Calculation 2 14 4" xfId="282"/>
    <cellStyle name="Calculation 2 14 5" xfId="283"/>
    <cellStyle name="Calculation 2 14 6" xfId="284"/>
    <cellStyle name="Calculation 2 14 7" xfId="285"/>
    <cellStyle name="Calculation 2 14 8" xfId="286"/>
    <cellStyle name="Calculation 2 14 9" xfId="287"/>
    <cellStyle name="Calculation 2 15" xfId="288"/>
    <cellStyle name="Calculation 2 15 10" xfId="289"/>
    <cellStyle name="Calculation 2 15 11" xfId="290"/>
    <cellStyle name="Calculation 2 15 12" xfId="291"/>
    <cellStyle name="Calculation 2 15 13" xfId="292"/>
    <cellStyle name="Calculation 2 15 14" xfId="293"/>
    <cellStyle name="Calculation 2 15 15" xfId="294"/>
    <cellStyle name="Calculation 2 15 16" xfId="295"/>
    <cellStyle name="Calculation 2 15 17" xfId="296"/>
    <cellStyle name="Calculation 2 15 18" xfId="297"/>
    <cellStyle name="Calculation 2 15 19" xfId="298"/>
    <cellStyle name="Calculation 2 15 2" xfId="299"/>
    <cellStyle name="Calculation 2 15 20" xfId="300"/>
    <cellStyle name="Calculation 2 15 21" xfId="301"/>
    <cellStyle name="Calculation 2 15 22" xfId="302"/>
    <cellStyle name="Calculation 2 15 23" xfId="303"/>
    <cellStyle name="Calculation 2 15 3" xfId="304"/>
    <cellStyle name="Calculation 2 15 4" xfId="305"/>
    <cellStyle name="Calculation 2 15 5" xfId="306"/>
    <cellStyle name="Calculation 2 15 6" xfId="307"/>
    <cellStyle name="Calculation 2 15 7" xfId="308"/>
    <cellStyle name="Calculation 2 15 8" xfId="309"/>
    <cellStyle name="Calculation 2 15 9" xfId="310"/>
    <cellStyle name="Calculation 2 16" xfId="311"/>
    <cellStyle name="Calculation 2 17" xfId="312"/>
    <cellStyle name="Calculation 2 18" xfId="313"/>
    <cellStyle name="Calculation 2 19" xfId="314"/>
    <cellStyle name="Calculation 2 2" xfId="315"/>
    <cellStyle name="Calculation 2 2 10" xfId="316"/>
    <cellStyle name="Calculation 2 2 11" xfId="317"/>
    <cellStyle name="Calculation 2 2 12" xfId="318"/>
    <cellStyle name="Calculation 2 2 13" xfId="319"/>
    <cellStyle name="Calculation 2 2 14" xfId="320"/>
    <cellStyle name="Calculation 2 2 15" xfId="321"/>
    <cellStyle name="Calculation 2 2 16" xfId="322"/>
    <cellStyle name="Calculation 2 2 17" xfId="323"/>
    <cellStyle name="Calculation 2 2 18" xfId="324"/>
    <cellStyle name="Calculation 2 2 19" xfId="325"/>
    <cellStyle name="Calculation 2 2 2" xfId="326"/>
    <cellStyle name="Calculation 2 2 20" xfId="327"/>
    <cellStyle name="Calculation 2 2 21" xfId="328"/>
    <cellStyle name="Calculation 2 2 22" xfId="329"/>
    <cellStyle name="Calculation 2 2 23" xfId="330"/>
    <cellStyle name="Calculation 2 2 3" xfId="331"/>
    <cellStyle name="Calculation 2 2 4" xfId="332"/>
    <cellStyle name="Calculation 2 2 5" xfId="333"/>
    <cellStyle name="Calculation 2 2 6" xfId="334"/>
    <cellStyle name="Calculation 2 2 7" xfId="335"/>
    <cellStyle name="Calculation 2 2 8" xfId="336"/>
    <cellStyle name="Calculation 2 2 9" xfId="337"/>
    <cellStyle name="Calculation 2 20" xfId="338"/>
    <cellStyle name="Calculation 2 21" xfId="339"/>
    <cellStyle name="Calculation 2 22" xfId="340"/>
    <cellStyle name="Calculation 2 23" xfId="341"/>
    <cellStyle name="Calculation 2 24" xfId="342"/>
    <cellStyle name="Calculation 2 25" xfId="343"/>
    <cellStyle name="Calculation 2 26" xfId="344"/>
    <cellStyle name="Calculation 2 27" xfId="345"/>
    <cellStyle name="Calculation 2 28" xfId="346"/>
    <cellStyle name="Calculation 2 29" xfId="347"/>
    <cellStyle name="Calculation 2 3" xfId="348"/>
    <cellStyle name="Calculation 2 3 10" xfId="349"/>
    <cellStyle name="Calculation 2 3 11" xfId="350"/>
    <cellStyle name="Calculation 2 3 12" xfId="351"/>
    <cellStyle name="Calculation 2 3 13" xfId="352"/>
    <cellStyle name="Calculation 2 3 14" xfId="353"/>
    <cellStyle name="Calculation 2 3 15" xfId="354"/>
    <cellStyle name="Calculation 2 3 16" xfId="355"/>
    <cellStyle name="Calculation 2 3 17" xfId="356"/>
    <cellStyle name="Calculation 2 3 18" xfId="357"/>
    <cellStyle name="Calculation 2 3 19" xfId="358"/>
    <cellStyle name="Calculation 2 3 2" xfId="359"/>
    <cellStyle name="Calculation 2 3 20" xfId="360"/>
    <cellStyle name="Calculation 2 3 21" xfId="361"/>
    <cellStyle name="Calculation 2 3 22" xfId="362"/>
    <cellStyle name="Calculation 2 3 23" xfId="363"/>
    <cellStyle name="Calculation 2 3 3" xfId="364"/>
    <cellStyle name="Calculation 2 3 4" xfId="365"/>
    <cellStyle name="Calculation 2 3 5" xfId="366"/>
    <cellStyle name="Calculation 2 3 6" xfId="367"/>
    <cellStyle name="Calculation 2 3 7" xfId="368"/>
    <cellStyle name="Calculation 2 3 8" xfId="369"/>
    <cellStyle name="Calculation 2 3 9" xfId="370"/>
    <cellStyle name="Calculation 2 30" xfId="371"/>
    <cellStyle name="Calculation 2 31" xfId="372"/>
    <cellStyle name="Calculation 2 32" xfId="373"/>
    <cellStyle name="Calculation 2 33" xfId="374"/>
    <cellStyle name="Calculation 2 34" xfId="375"/>
    <cellStyle name="Calculation 2 35" xfId="376"/>
    <cellStyle name="Calculation 2 36" xfId="377"/>
    <cellStyle name="Calculation 2 37" xfId="378"/>
    <cellStyle name="Calculation 2 4" xfId="379"/>
    <cellStyle name="Calculation 2 4 10" xfId="380"/>
    <cellStyle name="Calculation 2 4 11" xfId="381"/>
    <cellStyle name="Calculation 2 4 12" xfId="382"/>
    <cellStyle name="Calculation 2 4 13" xfId="383"/>
    <cellStyle name="Calculation 2 4 14" xfId="384"/>
    <cellStyle name="Calculation 2 4 15" xfId="385"/>
    <cellStyle name="Calculation 2 4 16" xfId="386"/>
    <cellStyle name="Calculation 2 4 17" xfId="387"/>
    <cellStyle name="Calculation 2 4 18" xfId="388"/>
    <cellStyle name="Calculation 2 4 19" xfId="389"/>
    <cellStyle name="Calculation 2 4 2" xfId="390"/>
    <cellStyle name="Calculation 2 4 20" xfId="391"/>
    <cellStyle name="Calculation 2 4 21" xfId="392"/>
    <cellStyle name="Calculation 2 4 22" xfId="393"/>
    <cellStyle name="Calculation 2 4 23" xfId="394"/>
    <cellStyle name="Calculation 2 4 3" xfId="395"/>
    <cellStyle name="Calculation 2 4 4" xfId="396"/>
    <cellStyle name="Calculation 2 4 5" xfId="397"/>
    <cellStyle name="Calculation 2 4 6" xfId="398"/>
    <cellStyle name="Calculation 2 4 7" xfId="399"/>
    <cellStyle name="Calculation 2 4 8" xfId="400"/>
    <cellStyle name="Calculation 2 4 9" xfId="401"/>
    <cellStyle name="Calculation 2 5" xfId="402"/>
    <cellStyle name="Calculation 2 5 10" xfId="403"/>
    <cellStyle name="Calculation 2 5 11" xfId="404"/>
    <cellStyle name="Calculation 2 5 12" xfId="405"/>
    <cellStyle name="Calculation 2 5 13" xfId="406"/>
    <cellStyle name="Calculation 2 5 14" xfId="407"/>
    <cellStyle name="Calculation 2 5 15" xfId="408"/>
    <cellStyle name="Calculation 2 5 16" xfId="409"/>
    <cellStyle name="Calculation 2 5 17" xfId="410"/>
    <cellStyle name="Calculation 2 5 18" xfId="411"/>
    <cellStyle name="Calculation 2 5 19" xfId="412"/>
    <cellStyle name="Calculation 2 5 2" xfId="413"/>
    <cellStyle name="Calculation 2 5 20" xfId="414"/>
    <cellStyle name="Calculation 2 5 21" xfId="415"/>
    <cellStyle name="Calculation 2 5 22" xfId="416"/>
    <cellStyle name="Calculation 2 5 23" xfId="417"/>
    <cellStyle name="Calculation 2 5 3" xfId="418"/>
    <cellStyle name="Calculation 2 5 4" xfId="419"/>
    <cellStyle name="Calculation 2 5 5" xfId="420"/>
    <cellStyle name="Calculation 2 5 6" xfId="421"/>
    <cellStyle name="Calculation 2 5 7" xfId="422"/>
    <cellStyle name="Calculation 2 5 8" xfId="423"/>
    <cellStyle name="Calculation 2 5 9" xfId="424"/>
    <cellStyle name="Calculation 2 6" xfId="425"/>
    <cellStyle name="Calculation 2 6 10" xfId="426"/>
    <cellStyle name="Calculation 2 6 11" xfId="427"/>
    <cellStyle name="Calculation 2 6 12" xfId="428"/>
    <cellStyle name="Calculation 2 6 13" xfId="429"/>
    <cellStyle name="Calculation 2 6 14" xfId="430"/>
    <cellStyle name="Calculation 2 6 15" xfId="431"/>
    <cellStyle name="Calculation 2 6 16" xfId="432"/>
    <cellStyle name="Calculation 2 6 17" xfId="433"/>
    <cellStyle name="Calculation 2 6 18" xfId="434"/>
    <cellStyle name="Calculation 2 6 19" xfId="435"/>
    <cellStyle name="Calculation 2 6 2" xfId="436"/>
    <cellStyle name="Calculation 2 6 20" xfId="437"/>
    <cellStyle name="Calculation 2 6 21" xfId="438"/>
    <cellStyle name="Calculation 2 6 22" xfId="439"/>
    <cellStyle name="Calculation 2 6 23" xfId="440"/>
    <cellStyle name="Calculation 2 6 3" xfId="441"/>
    <cellStyle name="Calculation 2 6 4" xfId="442"/>
    <cellStyle name="Calculation 2 6 5" xfId="443"/>
    <cellStyle name="Calculation 2 6 6" xfId="444"/>
    <cellStyle name="Calculation 2 6 7" xfId="445"/>
    <cellStyle name="Calculation 2 6 8" xfId="446"/>
    <cellStyle name="Calculation 2 6 9" xfId="447"/>
    <cellStyle name="Calculation 2 7" xfId="448"/>
    <cellStyle name="Calculation 2 7 10" xfId="449"/>
    <cellStyle name="Calculation 2 7 11" xfId="450"/>
    <cellStyle name="Calculation 2 7 12" xfId="451"/>
    <cellStyle name="Calculation 2 7 13" xfId="452"/>
    <cellStyle name="Calculation 2 7 14" xfId="453"/>
    <cellStyle name="Calculation 2 7 15" xfId="454"/>
    <cellStyle name="Calculation 2 7 16" xfId="455"/>
    <cellStyle name="Calculation 2 7 17" xfId="456"/>
    <cellStyle name="Calculation 2 7 18" xfId="457"/>
    <cellStyle name="Calculation 2 7 19" xfId="458"/>
    <cellStyle name="Calculation 2 7 2" xfId="459"/>
    <cellStyle name="Calculation 2 7 20" xfId="460"/>
    <cellStyle name="Calculation 2 7 21" xfId="461"/>
    <cellStyle name="Calculation 2 7 22" xfId="462"/>
    <cellStyle name="Calculation 2 7 23" xfId="463"/>
    <cellStyle name="Calculation 2 7 3" xfId="464"/>
    <cellStyle name="Calculation 2 7 4" xfId="465"/>
    <cellStyle name="Calculation 2 7 5" xfId="466"/>
    <cellStyle name="Calculation 2 7 6" xfId="467"/>
    <cellStyle name="Calculation 2 7 7" xfId="468"/>
    <cellStyle name="Calculation 2 7 8" xfId="469"/>
    <cellStyle name="Calculation 2 7 9" xfId="470"/>
    <cellStyle name="Calculation 2 8" xfId="471"/>
    <cellStyle name="Calculation 2 8 10" xfId="472"/>
    <cellStyle name="Calculation 2 8 11" xfId="473"/>
    <cellStyle name="Calculation 2 8 12" xfId="474"/>
    <cellStyle name="Calculation 2 8 13" xfId="475"/>
    <cellStyle name="Calculation 2 8 14" xfId="476"/>
    <cellStyle name="Calculation 2 8 15" xfId="477"/>
    <cellStyle name="Calculation 2 8 16" xfId="478"/>
    <cellStyle name="Calculation 2 8 17" xfId="479"/>
    <cellStyle name="Calculation 2 8 18" xfId="480"/>
    <cellStyle name="Calculation 2 8 19" xfId="481"/>
    <cellStyle name="Calculation 2 8 2" xfId="482"/>
    <cellStyle name="Calculation 2 8 20" xfId="483"/>
    <cellStyle name="Calculation 2 8 21" xfId="484"/>
    <cellStyle name="Calculation 2 8 22" xfId="485"/>
    <cellStyle name="Calculation 2 8 23" xfId="486"/>
    <cellStyle name="Calculation 2 8 3" xfId="487"/>
    <cellStyle name="Calculation 2 8 4" xfId="488"/>
    <cellStyle name="Calculation 2 8 5" xfId="489"/>
    <cellStyle name="Calculation 2 8 6" xfId="490"/>
    <cellStyle name="Calculation 2 8 7" xfId="491"/>
    <cellStyle name="Calculation 2 8 8" xfId="492"/>
    <cellStyle name="Calculation 2 8 9" xfId="493"/>
    <cellStyle name="Calculation 2 9" xfId="494"/>
    <cellStyle name="Calculation 2 9 10" xfId="495"/>
    <cellStyle name="Calculation 2 9 11" xfId="496"/>
    <cellStyle name="Calculation 2 9 12" xfId="497"/>
    <cellStyle name="Calculation 2 9 13" xfId="498"/>
    <cellStyle name="Calculation 2 9 14" xfId="499"/>
    <cellStyle name="Calculation 2 9 15" xfId="500"/>
    <cellStyle name="Calculation 2 9 16" xfId="501"/>
    <cellStyle name="Calculation 2 9 17" xfId="502"/>
    <cellStyle name="Calculation 2 9 18" xfId="503"/>
    <cellStyle name="Calculation 2 9 19" xfId="504"/>
    <cellStyle name="Calculation 2 9 2" xfId="505"/>
    <cellStyle name="Calculation 2 9 20" xfId="506"/>
    <cellStyle name="Calculation 2 9 21" xfId="507"/>
    <cellStyle name="Calculation 2 9 22" xfId="508"/>
    <cellStyle name="Calculation 2 9 23" xfId="509"/>
    <cellStyle name="Calculation 2 9 3" xfId="510"/>
    <cellStyle name="Calculation 2 9 4" xfId="511"/>
    <cellStyle name="Calculation 2 9 5" xfId="512"/>
    <cellStyle name="Calculation 2 9 6" xfId="513"/>
    <cellStyle name="Calculation 2 9 7" xfId="514"/>
    <cellStyle name="Calculation 2 9 8" xfId="515"/>
    <cellStyle name="Calculation 2 9 9" xfId="516"/>
    <cellStyle name="Check Cell 2" xfId="517"/>
    <cellStyle name="Check Cell 2 2" xfId="518"/>
    <cellStyle name="CollegeHeader1" xfId="519"/>
    <cellStyle name="ColumnAttributeAbovePrompt" xfId="520"/>
    <cellStyle name="ColumnAttributePrompt" xfId="521"/>
    <cellStyle name="ColumnAttributeValue" xfId="522"/>
    <cellStyle name="ColumnHeadingPrompt" xfId="523"/>
    <cellStyle name="ColumnHeadingValue" xfId="524"/>
    <cellStyle name="Comma 10" xfId="95"/>
    <cellStyle name="Comma 10 2" xfId="7"/>
    <cellStyle name="Comma 10 2 2" xfId="2340"/>
    <cellStyle name="Comma 10 3" xfId="8"/>
    <cellStyle name="Comma 10 3 2" xfId="2341"/>
    <cellStyle name="Comma 10 4" xfId="9"/>
    <cellStyle name="Comma 10 4 2" xfId="2342"/>
    <cellStyle name="Comma 10 5" xfId="10"/>
    <cellStyle name="Comma 10 5 2" xfId="2343"/>
    <cellStyle name="Comma 10 6" xfId="11"/>
    <cellStyle name="Comma 10 6 2" xfId="2344"/>
    <cellStyle name="Comma 10 7" xfId="12"/>
    <cellStyle name="Comma 10 7 2" xfId="2345"/>
    <cellStyle name="Comma 10 8" xfId="13"/>
    <cellStyle name="Comma 10 8 2" xfId="2346"/>
    <cellStyle name="Comma 10 9" xfId="14"/>
    <cellStyle name="Comma 10 9 2" xfId="2347"/>
    <cellStyle name="Comma 2" xfId="2"/>
    <cellStyle name="Comma 2 10" xfId="2435"/>
    <cellStyle name="Comma 2 2" xfId="15"/>
    <cellStyle name="Comma 2 2 10" xfId="92"/>
    <cellStyle name="Comma 2 2 11" xfId="2431"/>
    <cellStyle name="Comma 2 2 2" xfId="16"/>
    <cellStyle name="Comma 2 2 2 2" xfId="2348"/>
    <cellStyle name="Comma 2 2 3" xfId="17"/>
    <cellStyle name="Comma 2 2 3 2" xfId="2349"/>
    <cellStyle name="Comma 2 2 4" xfId="18"/>
    <cellStyle name="Comma 2 2 4 2" xfId="2350"/>
    <cellStyle name="Comma 2 2 5" xfId="19"/>
    <cellStyle name="Comma 2 2 5 2" xfId="2351"/>
    <cellStyle name="Comma 2 2 6" xfId="20"/>
    <cellStyle name="Comma 2 2 6 2" xfId="2352"/>
    <cellStyle name="Comma 2 2 7" xfId="21"/>
    <cellStyle name="Comma 2 2 7 2" xfId="2353"/>
    <cellStyle name="Comma 2 2 8" xfId="22"/>
    <cellStyle name="Comma 2 2 8 2" xfId="2354"/>
    <cellStyle name="Comma 2 2 9" xfId="23"/>
    <cellStyle name="Comma 2 2 9 2" xfId="2355"/>
    <cellStyle name="Comma 2 3" xfId="24"/>
    <cellStyle name="Comma 2 4" xfId="25"/>
    <cellStyle name="Comma 2 5" xfId="26"/>
    <cellStyle name="Comma 2 6" xfId="27"/>
    <cellStyle name="Comma 2 7" xfId="28"/>
    <cellStyle name="Comma 2 8" xfId="29"/>
    <cellStyle name="Comma 2 9" xfId="30"/>
    <cellStyle name="Comma 3" xfId="525"/>
    <cellStyle name="Comma 3 2" xfId="31"/>
    <cellStyle name="Comma 3 2 2" xfId="2356"/>
    <cellStyle name="Comma 3 3" xfId="32"/>
    <cellStyle name="Comma 3 3 2" xfId="2357"/>
    <cellStyle name="Comma 3 4" xfId="33"/>
    <cellStyle name="Comma 3 4 2" xfId="2358"/>
    <cellStyle name="Comma 3 5" xfId="34"/>
    <cellStyle name="Comma 3 5 2" xfId="2359"/>
    <cellStyle name="Comma 3 6" xfId="35"/>
    <cellStyle name="Comma 3 6 2" xfId="2360"/>
    <cellStyle name="Comma 3 7" xfId="36"/>
    <cellStyle name="Comma 3 7 2" xfId="2361"/>
    <cellStyle name="Comma 3 8" xfId="37"/>
    <cellStyle name="Comma 3 8 2" xfId="2362"/>
    <cellStyle name="Comma 3 9" xfId="38"/>
    <cellStyle name="Comma 3 9 2" xfId="2363"/>
    <cellStyle name="Comma 4" xfId="526"/>
    <cellStyle name="Comma 4 2" xfId="39"/>
    <cellStyle name="Comma 4 2 2" xfId="2364"/>
    <cellStyle name="Comma 4 3" xfId="40"/>
    <cellStyle name="Comma 4 3 2" xfId="2365"/>
    <cellStyle name="Comma 4 4" xfId="41"/>
    <cellStyle name="Comma 4 4 2" xfId="2366"/>
    <cellStyle name="Comma 4 5" xfId="42"/>
    <cellStyle name="Comma 4 5 2" xfId="2367"/>
    <cellStyle name="Comma 4 6" xfId="43"/>
    <cellStyle name="Comma 4 6 2" xfId="2368"/>
    <cellStyle name="Comma 4 7" xfId="44"/>
    <cellStyle name="Comma 4 7 2" xfId="2369"/>
    <cellStyle name="Comma 4 8" xfId="45"/>
    <cellStyle name="Comma 4 8 2" xfId="2370"/>
    <cellStyle name="Comma 4 9" xfId="46"/>
    <cellStyle name="Comma 4 9 2" xfId="2371"/>
    <cellStyle name="Comma 5" xfId="527"/>
    <cellStyle name="Comma 5 2" xfId="47"/>
    <cellStyle name="Comma 5 2 2" xfId="2372"/>
    <cellStyle name="Comma 5 3" xfId="48"/>
    <cellStyle name="Comma 5 3 2" xfId="2373"/>
    <cellStyle name="Comma 5 4" xfId="49"/>
    <cellStyle name="Comma 5 4 2" xfId="2374"/>
    <cellStyle name="Comma 5 5" xfId="50"/>
    <cellStyle name="Comma 5 5 2" xfId="2375"/>
    <cellStyle name="Comma 5 6" xfId="51"/>
    <cellStyle name="Comma 5 6 2" xfId="2376"/>
    <cellStyle name="Comma 5 7" xfId="52"/>
    <cellStyle name="Comma 5 7 2" xfId="2377"/>
    <cellStyle name="Comma 5 8" xfId="53"/>
    <cellStyle name="Comma 5 8 2" xfId="2378"/>
    <cellStyle name="Comma 5 9" xfId="54"/>
    <cellStyle name="Comma 5 9 2" xfId="2379"/>
    <cellStyle name="Comma 6" xfId="2337"/>
    <cellStyle name="Comma 6 2" xfId="55"/>
    <cellStyle name="Comma 6 2 2" xfId="2380"/>
    <cellStyle name="Comma 6 3" xfId="56"/>
    <cellStyle name="Comma 6 3 2" xfId="2381"/>
    <cellStyle name="Comma 6 4" xfId="57"/>
    <cellStyle name="Comma 6 4 2" xfId="2382"/>
    <cellStyle name="Comma 6 5" xfId="58"/>
    <cellStyle name="Comma 6 5 2" xfId="2383"/>
    <cellStyle name="Comma 6 6" xfId="59"/>
    <cellStyle name="Comma 6 6 2" xfId="2384"/>
    <cellStyle name="Comma 6 7" xfId="60"/>
    <cellStyle name="Comma 6 7 2" xfId="2385"/>
    <cellStyle name="Comma 6 8" xfId="61"/>
    <cellStyle name="Comma 6 8 2" xfId="2386"/>
    <cellStyle name="Comma 6 9" xfId="62"/>
    <cellStyle name="Comma 6 9 2" xfId="2387"/>
    <cellStyle name="Comma 7 2" xfId="63"/>
    <cellStyle name="Comma 7 2 2" xfId="2388"/>
    <cellStyle name="Comma 7 3" xfId="64"/>
    <cellStyle name="Comma 7 3 2" xfId="2389"/>
    <cellStyle name="Comma 7 4" xfId="65"/>
    <cellStyle name="Comma 7 4 2" xfId="2390"/>
    <cellStyle name="Comma 7 5" xfId="66"/>
    <cellStyle name="Comma 7 5 2" xfId="2391"/>
    <cellStyle name="Comma 7 6" xfId="67"/>
    <cellStyle name="Comma 7 6 2" xfId="2392"/>
    <cellStyle name="Comma 7 7" xfId="68"/>
    <cellStyle name="Comma 7 7 2" xfId="2393"/>
    <cellStyle name="Comma 7 8" xfId="69"/>
    <cellStyle name="Comma 7 8 2" xfId="2394"/>
    <cellStyle name="Comma 7 9" xfId="70"/>
    <cellStyle name="Comma 7 9 2" xfId="2395"/>
    <cellStyle name="Comma 8 2" xfId="71"/>
    <cellStyle name="Comma 8 2 2" xfId="2396"/>
    <cellStyle name="Comma 8 3" xfId="72"/>
    <cellStyle name="Comma 8 3 2" xfId="2397"/>
    <cellStyle name="Comma 8 4" xfId="73"/>
    <cellStyle name="Comma 8 4 2" xfId="2398"/>
    <cellStyle name="Comma 8 5" xfId="74"/>
    <cellStyle name="Comma 8 5 2" xfId="2399"/>
    <cellStyle name="Comma 8 6" xfId="75"/>
    <cellStyle name="Comma 8 6 2" xfId="2400"/>
    <cellStyle name="Comma 8 7" xfId="76"/>
    <cellStyle name="Comma 8 7 2" xfId="2401"/>
    <cellStyle name="Comma 8 8" xfId="77"/>
    <cellStyle name="Comma 8 8 2" xfId="2402"/>
    <cellStyle name="Comma 8 9" xfId="78"/>
    <cellStyle name="Comma 8 9 2" xfId="2403"/>
    <cellStyle name="Comma 9 2" xfId="79"/>
    <cellStyle name="Comma 9 2 2" xfId="2404"/>
    <cellStyle name="Comma 9 3" xfId="80"/>
    <cellStyle name="Comma 9 3 2" xfId="2405"/>
    <cellStyle name="Comma 9 4" xfId="81"/>
    <cellStyle name="Comma 9 4 2" xfId="2406"/>
    <cellStyle name="Comma 9 5" xfId="82"/>
    <cellStyle name="Comma 9 5 2" xfId="2407"/>
    <cellStyle name="Comma 9 6" xfId="83"/>
    <cellStyle name="Comma 9 6 2" xfId="2408"/>
    <cellStyle name="Comma 9 7" xfId="84"/>
    <cellStyle name="Comma 9 7 2" xfId="2409"/>
    <cellStyle name="Comma 9 8" xfId="85"/>
    <cellStyle name="Comma 9 8 2" xfId="2410"/>
    <cellStyle name="Comma 9 9" xfId="86"/>
    <cellStyle name="Comma 9 9 2" xfId="2411"/>
    <cellStyle name="Currency 2" xfId="3"/>
    <cellStyle name="Currency 2 2" xfId="91"/>
    <cellStyle name="Currency 2 2 2" xfId="528"/>
    <cellStyle name="Currency 3" xfId="89"/>
    <cellStyle name="Currency 3 2" xfId="94"/>
    <cellStyle name="Currency 4" xfId="529"/>
    <cellStyle name="Currency 5" xfId="530"/>
    <cellStyle name="Currency 6" xfId="531"/>
    <cellStyle name="Currency 7" xfId="2339"/>
    <cellStyle name="Dane wejściowe" xfId="532"/>
    <cellStyle name="Dane wejściowe 10" xfId="533"/>
    <cellStyle name="Dane wejściowe 11" xfId="534"/>
    <cellStyle name="Dane wejściowe 12" xfId="535"/>
    <cellStyle name="Dane wejściowe 13" xfId="536"/>
    <cellStyle name="Dane wejściowe 14" xfId="537"/>
    <cellStyle name="Dane wejściowe 15" xfId="538"/>
    <cellStyle name="Dane wejściowe 16" xfId="539"/>
    <cellStyle name="Dane wejściowe 17" xfId="540"/>
    <cellStyle name="Dane wejściowe 18" xfId="541"/>
    <cellStyle name="Dane wejściowe 19" xfId="542"/>
    <cellStyle name="Dane wejściowe 2" xfId="543"/>
    <cellStyle name="Dane wejściowe 2 10" xfId="544"/>
    <cellStyle name="Dane wejściowe 2 11" xfId="545"/>
    <cellStyle name="Dane wejściowe 2 12" xfId="546"/>
    <cellStyle name="Dane wejściowe 2 13" xfId="547"/>
    <cellStyle name="Dane wejściowe 2 14" xfId="548"/>
    <cellStyle name="Dane wejściowe 2 15" xfId="549"/>
    <cellStyle name="Dane wejściowe 2 16" xfId="550"/>
    <cellStyle name="Dane wejściowe 2 17" xfId="551"/>
    <cellStyle name="Dane wejściowe 2 18" xfId="552"/>
    <cellStyle name="Dane wejściowe 2 19" xfId="553"/>
    <cellStyle name="Dane wejściowe 2 2" xfId="554"/>
    <cellStyle name="Dane wejściowe 2 20" xfId="555"/>
    <cellStyle name="Dane wejściowe 2 21" xfId="556"/>
    <cellStyle name="Dane wejściowe 2 22" xfId="557"/>
    <cellStyle name="Dane wejściowe 2 23" xfId="558"/>
    <cellStyle name="Dane wejściowe 2 3" xfId="559"/>
    <cellStyle name="Dane wejściowe 2 4" xfId="560"/>
    <cellStyle name="Dane wejściowe 2 5" xfId="561"/>
    <cellStyle name="Dane wejściowe 2 6" xfId="562"/>
    <cellStyle name="Dane wejściowe 2 7" xfId="563"/>
    <cellStyle name="Dane wejściowe 2 8" xfId="564"/>
    <cellStyle name="Dane wejściowe 2 9" xfId="565"/>
    <cellStyle name="Dane wejściowe 20" xfId="566"/>
    <cellStyle name="Dane wejściowe 21" xfId="567"/>
    <cellStyle name="Dane wejściowe 22" xfId="568"/>
    <cellStyle name="Dane wejściowe 23" xfId="569"/>
    <cellStyle name="Dane wejściowe 24" xfId="570"/>
    <cellStyle name="Dane wejściowe 25" xfId="571"/>
    <cellStyle name="Dane wejściowe 3" xfId="572"/>
    <cellStyle name="Dane wejściowe 3 10" xfId="573"/>
    <cellStyle name="Dane wejściowe 3 11" xfId="574"/>
    <cellStyle name="Dane wejściowe 3 12" xfId="575"/>
    <cellStyle name="Dane wejściowe 3 13" xfId="576"/>
    <cellStyle name="Dane wejściowe 3 14" xfId="577"/>
    <cellStyle name="Dane wejściowe 3 15" xfId="578"/>
    <cellStyle name="Dane wejściowe 3 16" xfId="579"/>
    <cellStyle name="Dane wejściowe 3 17" xfId="580"/>
    <cellStyle name="Dane wejściowe 3 18" xfId="581"/>
    <cellStyle name="Dane wejściowe 3 19" xfId="582"/>
    <cellStyle name="Dane wejściowe 3 2" xfId="583"/>
    <cellStyle name="Dane wejściowe 3 20" xfId="584"/>
    <cellStyle name="Dane wejściowe 3 21" xfId="585"/>
    <cellStyle name="Dane wejściowe 3 22" xfId="586"/>
    <cellStyle name="Dane wejściowe 3 23" xfId="587"/>
    <cellStyle name="Dane wejściowe 3 3" xfId="588"/>
    <cellStyle name="Dane wejściowe 3 4" xfId="589"/>
    <cellStyle name="Dane wejściowe 3 5" xfId="590"/>
    <cellStyle name="Dane wejściowe 3 6" xfId="591"/>
    <cellStyle name="Dane wejściowe 3 7" xfId="592"/>
    <cellStyle name="Dane wejściowe 3 8" xfId="593"/>
    <cellStyle name="Dane wejściowe 3 9" xfId="594"/>
    <cellStyle name="Dane wejściowe 4" xfId="595"/>
    <cellStyle name="Dane wejściowe 5" xfId="596"/>
    <cellStyle name="Dane wejściowe 6" xfId="597"/>
    <cellStyle name="Dane wejściowe 7" xfId="598"/>
    <cellStyle name="Dane wejściowe 8" xfId="599"/>
    <cellStyle name="Dane wejściowe 9" xfId="600"/>
    <cellStyle name="Dane wyjściowe" xfId="601"/>
    <cellStyle name="Dane wyjściowe 10" xfId="602"/>
    <cellStyle name="Dane wyjściowe 11" xfId="603"/>
    <cellStyle name="Dane wyjściowe 12" xfId="604"/>
    <cellStyle name="Dane wyjściowe 13" xfId="605"/>
    <cellStyle name="Dane wyjściowe 14" xfId="606"/>
    <cellStyle name="Dane wyjściowe 15" xfId="607"/>
    <cellStyle name="Dane wyjściowe 16" xfId="608"/>
    <cellStyle name="Dane wyjściowe 17" xfId="609"/>
    <cellStyle name="Dane wyjściowe 18" xfId="610"/>
    <cellStyle name="Dane wyjściowe 19" xfId="611"/>
    <cellStyle name="Dane wyjściowe 2" xfId="612"/>
    <cellStyle name="Dane wyjściowe 2 10" xfId="613"/>
    <cellStyle name="Dane wyjściowe 2 11" xfId="614"/>
    <cellStyle name="Dane wyjściowe 2 12" xfId="615"/>
    <cellStyle name="Dane wyjściowe 2 13" xfId="616"/>
    <cellStyle name="Dane wyjściowe 2 14" xfId="617"/>
    <cellStyle name="Dane wyjściowe 2 15" xfId="618"/>
    <cellStyle name="Dane wyjściowe 2 16" xfId="619"/>
    <cellStyle name="Dane wyjściowe 2 17" xfId="620"/>
    <cellStyle name="Dane wyjściowe 2 18" xfId="621"/>
    <cellStyle name="Dane wyjściowe 2 19" xfId="622"/>
    <cellStyle name="Dane wyjściowe 2 2" xfId="623"/>
    <cellStyle name="Dane wyjściowe 2 20" xfId="624"/>
    <cellStyle name="Dane wyjściowe 2 21" xfId="625"/>
    <cellStyle name="Dane wyjściowe 2 22" xfId="626"/>
    <cellStyle name="Dane wyjściowe 2 23" xfId="627"/>
    <cellStyle name="Dane wyjściowe 2 3" xfId="628"/>
    <cellStyle name="Dane wyjściowe 2 4" xfId="629"/>
    <cellStyle name="Dane wyjściowe 2 5" xfId="630"/>
    <cellStyle name="Dane wyjściowe 2 6" xfId="631"/>
    <cellStyle name="Dane wyjściowe 2 7" xfId="632"/>
    <cellStyle name="Dane wyjściowe 2 8" xfId="633"/>
    <cellStyle name="Dane wyjściowe 2 9" xfId="634"/>
    <cellStyle name="Dane wyjściowe 20" xfId="635"/>
    <cellStyle name="Dane wyjściowe 21" xfId="636"/>
    <cellStyle name="Dane wyjściowe 22" xfId="637"/>
    <cellStyle name="Dane wyjściowe 23" xfId="638"/>
    <cellStyle name="Dane wyjściowe 24" xfId="639"/>
    <cellStyle name="Dane wyjściowe 25" xfId="640"/>
    <cellStyle name="Dane wyjściowe 3" xfId="641"/>
    <cellStyle name="Dane wyjściowe 3 10" xfId="642"/>
    <cellStyle name="Dane wyjściowe 3 11" xfId="643"/>
    <cellStyle name="Dane wyjściowe 3 12" xfId="644"/>
    <cellStyle name="Dane wyjściowe 3 13" xfId="645"/>
    <cellStyle name="Dane wyjściowe 3 14" xfId="646"/>
    <cellStyle name="Dane wyjściowe 3 15" xfId="647"/>
    <cellStyle name="Dane wyjściowe 3 16" xfId="648"/>
    <cellStyle name="Dane wyjściowe 3 17" xfId="649"/>
    <cellStyle name="Dane wyjściowe 3 18" xfId="650"/>
    <cellStyle name="Dane wyjściowe 3 19" xfId="651"/>
    <cellStyle name="Dane wyjściowe 3 2" xfId="652"/>
    <cellStyle name="Dane wyjściowe 3 20" xfId="653"/>
    <cellStyle name="Dane wyjściowe 3 21" xfId="654"/>
    <cellStyle name="Dane wyjściowe 3 22" xfId="655"/>
    <cellStyle name="Dane wyjściowe 3 23" xfId="656"/>
    <cellStyle name="Dane wyjściowe 3 3" xfId="657"/>
    <cellStyle name="Dane wyjściowe 3 4" xfId="658"/>
    <cellStyle name="Dane wyjściowe 3 5" xfId="659"/>
    <cellStyle name="Dane wyjściowe 3 6" xfId="660"/>
    <cellStyle name="Dane wyjściowe 3 7" xfId="661"/>
    <cellStyle name="Dane wyjściowe 3 8" xfId="662"/>
    <cellStyle name="Dane wyjściowe 3 9" xfId="663"/>
    <cellStyle name="Dane wyjściowe 4" xfId="664"/>
    <cellStyle name="Dane wyjściowe 5" xfId="665"/>
    <cellStyle name="Dane wyjściowe 6" xfId="666"/>
    <cellStyle name="Dane wyjściowe 7" xfId="667"/>
    <cellStyle name="Dane wyjściowe 8" xfId="668"/>
    <cellStyle name="Dane wyjściowe 9" xfId="669"/>
    <cellStyle name="Date" xfId="670"/>
    <cellStyle name="Dobre" xfId="671"/>
    <cellStyle name="Euro" xfId="2412"/>
    <cellStyle name="Explanatory Text 2" xfId="672"/>
    <cellStyle name="FirstTableHeader" xfId="673"/>
    <cellStyle name="Fixed" xfId="674"/>
    <cellStyle name="Good 2" xfId="675"/>
    <cellStyle name="Good 2 2" xfId="676"/>
    <cellStyle name="Heading 1 2" xfId="677"/>
    <cellStyle name="Heading 1 2 2" xfId="678"/>
    <cellStyle name="Heading 2 2" xfId="679"/>
    <cellStyle name="Heading 2 2 2" xfId="680"/>
    <cellStyle name="Heading 3 2" xfId="681"/>
    <cellStyle name="Heading 3 2 2" xfId="682"/>
    <cellStyle name="Heading 3 2 3" xfId="683"/>
    <cellStyle name="Heading 3 2 4" xfId="684"/>
    <cellStyle name="Heading 3 2 5" xfId="685"/>
    <cellStyle name="Heading 3 2 6" xfId="686"/>
    <cellStyle name="Heading 3 2 7" xfId="687"/>
    <cellStyle name="Heading 4 2" xfId="688"/>
    <cellStyle name="Hyperlink" xfId="90" builtinId="8"/>
    <cellStyle name="Hyperlink 2" xfId="689"/>
    <cellStyle name="Hyperlink 2 2" xfId="690"/>
    <cellStyle name="Hyperlink 3" xfId="691"/>
    <cellStyle name="Input 2" xfId="692"/>
    <cellStyle name="Input 2 10" xfId="693"/>
    <cellStyle name="Input 2 10 10" xfId="694"/>
    <cellStyle name="Input 2 10 11" xfId="695"/>
    <cellStyle name="Input 2 10 12" xfId="696"/>
    <cellStyle name="Input 2 10 13" xfId="697"/>
    <cellStyle name="Input 2 10 14" xfId="698"/>
    <cellStyle name="Input 2 10 15" xfId="699"/>
    <cellStyle name="Input 2 10 16" xfId="700"/>
    <cellStyle name="Input 2 10 17" xfId="701"/>
    <cellStyle name="Input 2 10 18" xfId="702"/>
    <cellStyle name="Input 2 10 19" xfId="703"/>
    <cellStyle name="Input 2 10 2" xfId="704"/>
    <cellStyle name="Input 2 10 20" xfId="705"/>
    <cellStyle name="Input 2 10 21" xfId="706"/>
    <cellStyle name="Input 2 10 22" xfId="707"/>
    <cellStyle name="Input 2 10 23" xfId="708"/>
    <cellStyle name="Input 2 10 3" xfId="709"/>
    <cellStyle name="Input 2 10 4" xfId="710"/>
    <cellStyle name="Input 2 10 5" xfId="711"/>
    <cellStyle name="Input 2 10 6" xfId="712"/>
    <cellStyle name="Input 2 10 7" xfId="713"/>
    <cellStyle name="Input 2 10 8" xfId="714"/>
    <cellStyle name="Input 2 10 9" xfId="715"/>
    <cellStyle name="Input 2 11" xfId="716"/>
    <cellStyle name="Input 2 11 10" xfId="717"/>
    <cellStyle name="Input 2 11 11" xfId="718"/>
    <cellStyle name="Input 2 11 12" xfId="719"/>
    <cellStyle name="Input 2 11 13" xfId="720"/>
    <cellStyle name="Input 2 11 14" xfId="721"/>
    <cellStyle name="Input 2 11 15" xfId="722"/>
    <cellStyle name="Input 2 11 16" xfId="723"/>
    <cellStyle name="Input 2 11 17" xfId="724"/>
    <cellStyle name="Input 2 11 18" xfId="725"/>
    <cellStyle name="Input 2 11 19" xfId="726"/>
    <cellStyle name="Input 2 11 2" xfId="727"/>
    <cellStyle name="Input 2 11 20" xfId="728"/>
    <cellStyle name="Input 2 11 21" xfId="729"/>
    <cellStyle name="Input 2 11 22" xfId="730"/>
    <cellStyle name="Input 2 11 23" xfId="731"/>
    <cellStyle name="Input 2 11 3" xfId="732"/>
    <cellStyle name="Input 2 11 4" xfId="733"/>
    <cellStyle name="Input 2 11 5" xfId="734"/>
    <cellStyle name="Input 2 11 6" xfId="735"/>
    <cellStyle name="Input 2 11 7" xfId="736"/>
    <cellStyle name="Input 2 11 8" xfId="737"/>
    <cellStyle name="Input 2 11 9" xfId="738"/>
    <cellStyle name="Input 2 12" xfId="739"/>
    <cellStyle name="Input 2 12 10" xfId="740"/>
    <cellStyle name="Input 2 12 11" xfId="741"/>
    <cellStyle name="Input 2 12 12" xfId="742"/>
    <cellStyle name="Input 2 12 13" xfId="743"/>
    <cellStyle name="Input 2 12 14" xfId="744"/>
    <cellStyle name="Input 2 12 15" xfId="745"/>
    <cellStyle name="Input 2 12 16" xfId="746"/>
    <cellStyle name="Input 2 12 17" xfId="747"/>
    <cellStyle name="Input 2 12 18" xfId="748"/>
    <cellStyle name="Input 2 12 19" xfId="749"/>
    <cellStyle name="Input 2 12 2" xfId="750"/>
    <cellStyle name="Input 2 12 20" xfId="751"/>
    <cellStyle name="Input 2 12 21" xfId="752"/>
    <cellStyle name="Input 2 12 22" xfId="753"/>
    <cellStyle name="Input 2 12 23" xfId="754"/>
    <cellStyle name="Input 2 12 3" xfId="755"/>
    <cellStyle name="Input 2 12 4" xfId="756"/>
    <cellStyle name="Input 2 12 5" xfId="757"/>
    <cellStyle name="Input 2 12 6" xfId="758"/>
    <cellStyle name="Input 2 12 7" xfId="759"/>
    <cellStyle name="Input 2 12 8" xfId="760"/>
    <cellStyle name="Input 2 12 9" xfId="761"/>
    <cellStyle name="Input 2 13" xfId="762"/>
    <cellStyle name="Input 2 13 10" xfId="763"/>
    <cellStyle name="Input 2 13 11" xfId="764"/>
    <cellStyle name="Input 2 13 12" xfId="765"/>
    <cellStyle name="Input 2 13 13" xfId="766"/>
    <cellStyle name="Input 2 13 14" xfId="767"/>
    <cellStyle name="Input 2 13 15" xfId="768"/>
    <cellStyle name="Input 2 13 16" xfId="769"/>
    <cellStyle name="Input 2 13 17" xfId="770"/>
    <cellStyle name="Input 2 13 18" xfId="771"/>
    <cellStyle name="Input 2 13 19" xfId="772"/>
    <cellStyle name="Input 2 13 2" xfId="773"/>
    <cellStyle name="Input 2 13 20" xfId="774"/>
    <cellStyle name="Input 2 13 21" xfId="775"/>
    <cellStyle name="Input 2 13 22" xfId="776"/>
    <cellStyle name="Input 2 13 23" xfId="777"/>
    <cellStyle name="Input 2 13 3" xfId="778"/>
    <cellStyle name="Input 2 13 4" xfId="779"/>
    <cellStyle name="Input 2 13 5" xfId="780"/>
    <cellStyle name="Input 2 13 6" xfId="781"/>
    <cellStyle name="Input 2 13 7" xfId="782"/>
    <cellStyle name="Input 2 13 8" xfId="783"/>
    <cellStyle name="Input 2 13 9" xfId="784"/>
    <cellStyle name="Input 2 14" xfId="785"/>
    <cellStyle name="Input 2 14 10" xfId="786"/>
    <cellStyle name="Input 2 14 11" xfId="787"/>
    <cellStyle name="Input 2 14 12" xfId="788"/>
    <cellStyle name="Input 2 14 13" xfId="789"/>
    <cellStyle name="Input 2 14 14" xfId="790"/>
    <cellStyle name="Input 2 14 15" xfId="791"/>
    <cellStyle name="Input 2 14 16" xfId="792"/>
    <cellStyle name="Input 2 14 17" xfId="793"/>
    <cellStyle name="Input 2 14 18" xfId="794"/>
    <cellStyle name="Input 2 14 19" xfId="795"/>
    <cellStyle name="Input 2 14 2" xfId="796"/>
    <cellStyle name="Input 2 14 20" xfId="797"/>
    <cellStyle name="Input 2 14 21" xfId="798"/>
    <cellStyle name="Input 2 14 22" xfId="799"/>
    <cellStyle name="Input 2 14 23" xfId="800"/>
    <cellStyle name="Input 2 14 3" xfId="801"/>
    <cellStyle name="Input 2 14 4" xfId="802"/>
    <cellStyle name="Input 2 14 5" xfId="803"/>
    <cellStyle name="Input 2 14 6" xfId="804"/>
    <cellStyle name="Input 2 14 7" xfId="805"/>
    <cellStyle name="Input 2 14 8" xfId="806"/>
    <cellStyle name="Input 2 14 9" xfId="807"/>
    <cellStyle name="Input 2 15" xfId="808"/>
    <cellStyle name="Input 2 15 10" xfId="809"/>
    <cellStyle name="Input 2 15 11" xfId="810"/>
    <cellStyle name="Input 2 15 12" xfId="811"/>
    <cellStyle name="Input 2 15 13" xfId="812"/>
    <cellStyle name="Input 2 15 14" xfId="813"/>
    <cellStyle name="Input 2 15 15" xfId="814"/>
    <cellStyle name="Input 2 15 16" xfId="815"/>
    <cellStyle name="Input 2 15 17" xfId="816"/>
    <cellStyle name="Input 2 15 18" xfId="817"/>
    <cellStyle name="Input 2 15 19" xfId="818"/>
    <cellStyle name="Input 2 15 2" xfId="819"/>
    <cellStyle name="Input 2 15 20" xfId="820"/>
    <cellStyle name="Input 2 15 21" xfId="821"/>
    <cellStyle name="Input 2 15 22" xfId="822"/>
    <cellStyle name="Input 2 15 23" xfId="823"/>
    <cellStyle name="Input 2 15 3" xfId="824"/>
    <cellStyle name="Input 2 15 4" xfId="825"/>
    <cellStyle name="Input 2 15 5" xfId="826"/>
    <cellStyle name="Input 2 15 6" xfId="827"/>
    <cellStyle name="Input 2 15 7" xfId="828"/>
    <cellStyle name="Input 2 15 8" xfId="829"/>
    <cellStyle name="Input 2 15 9" xfId="830"/>
    <cellStyle name="Input 2 16" xfId="831"/>
    <cellStyle name="Input 2 17" xfId="832"/>
    <cellStyle name="Input 2 18" xfId="833"/>
    <cellStyle name="Input 2 19" xfId="834"/>
    <cellStyle name="Input 2 2" xfId="835"/>
    <cellStyle name="Input 2 2 10" xfId="836"/>
    <cellStyle name="Input 2 2 11" xfId="837"/>
    <cellStyle name="Input 2 2 12" xfId="838"/>
    <cellStyle name="Input 2 2 13" xfId="839"/>
    <cellStyle name="Input 2 2 14" xfId="840"/>
    <cellStyle name="Input 2 2 15" xfId="841"/>
    <cellStyle name="Input 2 2 16" xfId="842"/>
    <cellStyle name="Input 2 2 17" xfId="843"/>
    <cellStyle name="Input 2 2 18" xfId="844"/>
    <cellStyle name="Input 2 2 19" xfId="845"/>
    <cellStyle name="Input 2 2 2" xfId="846"/>
    <cellStyle name="Input 2 2 20" xfId="847"/>
    <cellStyle name="Input 2 2 21" xfId="848"/>
    <cellStyle name="Input 2 2 22" xfId="849"/>
    <cellStyle name="Input 2 2 23" xfId="850"/>
    <cellStyle name="Input 2 2 3" xfId="851"/>
    <cellStyle name="Input 2 2 4" xfId="852"/>
    <cellStyle name="Input 2 2 5" xfId="853"/>
    <cellStyle name="Input 2 2 6" xfId="854"/>
    <cellStyle name="Input 2 2 7" xfId="855"/>
    <cellStyle name="Input 2 2 8" xfId="856"/>
    <cellStyle name="Input 2 2 9" xfId="857"/>
    <cellStyle name="Input 2 20" xfId="858"/>
    <cellStyle name="Input 2 21" xfId="859"/>
    <cellStyle name="Input 2 22" xfId="860"/>
    <cellStyle name="Input 2 23" xfId="861"/>
    <cellStyle name="Input 2 24" xfId="862"/>
    <cellStyle name="Input 2 25" xfId="863"/>
    <cellStyle name="Input 2 26" xfId="864"/>
    <cellStyle name="Input 2 27" xfId="865"/>
    <cellStyle name="Input 2 28" xfId="866"/>
    <cellStyle name="Input 2 29" xfId="867"/>
    <cellStyle name="Input 2 3" xfId="868"/>
    <cellStyle name="Input 2 3 10" xfId="869"/>
    <cellStyle name="Input 2 3 11" xfId="870"/>
    <cellStyle name="Input 2 3 12" xfId="871"/>
    <cellStyle name="Input 2 3 13" xfId="872"/>
    <cellStyle name="Input 2 3 14" xfId="873"/>
    <cellStyle name="Input 2 3 15" xfId="874"/>
    <cellStyle name="Input 2 3 16" xfId="875"/>
    <cellStyle name="Input 2 3 17" xfId="876"/>
    <cellStyle name="Input 2 3 18" xfId="877"/>
    <cellStyle name="Input 2 3 19" xfId="878"/>
    <cellStyle name="Input 2 3 2" xfId="879"/>
    <cellStyle name="Input 2 3 20" xfId="880"/>
    <cellStyle name="Input 2 3 21" xfId="881"/>
    <cellStyle name="Input 2 3 22" xfId="882"/>
    <cellStyle name="Input 2 3 23" xfId="883"/>
    <cellStyle name="Input 2 3 3" xfId="884"/>
    <cellStyle name="Input 2 3 4" xfId="885"/>
    <cellStyle name="Input 2 3 5" xfId="886"/>
    <cellStyle name="Input 2 3 6" xfId="887"/>
    <cellStyle name="Input 2 3 7" xfId="888"/>
    <cellStyle name="Input 2 3 8" xfId="889"/>
    <cellStyle name="Input 2 3 9" xfId="890"/>
    <cellStyle name="Input 2 30" xfId="891"/>
    <cellStyle name="Input 2 31" xfId="892"/>
    <cellStyle name="Input 2 32" xfId="893"/>
    <cellStyle name="Input 2 33" xfId="894"/>
    <cellStyle name="Input 2 34" xfId="895"/>
    <cellStyle name="Input 2 35" xfId="896"/>
    <cellStyle name="Input 2 36" xfId="897"/>
    <cellStyle name="Input 2 37" xfId="898"/>
    <cellStyle name="Input 2 4" xfId="899"/>
    <cellStyle name="Input 2 4 10" xfId="900"/>
    <cellStyle name="Input 2 4 11" xfId="901"/>
    <cellStyle name="Input 2 4 12" xfId="902"/>
    <cellStyle name="Input 2 4 13" xfId="903"/>
    <cellStyle name="Input 2 4 14" xfId="904"/>
    <cellStyle name="Input 2 4 15" xfId="905"/>
    <cellStyle name="Input 2 4 16" xfId="906"/>
    <cellStyle name="Input 2 4 17" xfId="907"/>
    <cellStyle name="Input 2 4 18" xfId="908"/>
    <cellStyle name="Input 2 4 19" xfId="909"/>
    <cellStyle name="Input 2 4 2" xfId="910"/>
    <cellStyle name="Input 2 4 20" xfId="911"/>
    <cellStyle name="Input 2 4 21" xfId="912"/>
    <cellStyle name="Input 2 4 22" xfId="913"/>
    <cellStyle name="Input 2 4 23" xfId="914"/>
    <cellStyle name="Input 2 4 3" xfId="915"/>
    <cellStyle name="Input 2 4 4" xfId="916"/>
    <cellStyle name="Input 2 4 5" xfId="917"/>
    <cellStyle name="Input 2 4 6" xfId="918"/>
    <cellStyle name="Input 2 4 7" xfId="919"/>
    <cellStyle name="Input 2 4 8" xfId="920"/>
    <cellStyle name="Input 2 4 9" xfId="921"/>
    <cellStyle name="Input 2 5" xfId="922"/>
    <cellStyle name="Input 2 5 10" xfId="923"/>
    <cellStyle name="Input 2 5 11" xfId="924"/>
    <cellStyle name="Input 2 5 12" xfId="925"/>
    <cellStyle name="Input 2 5 13" xfId="926"/>
    <cellStyle name="Input 2 5 14" xfId="927"/>
    <cellStyle name="Input 2 5 15" xfId="928"/>
    <cellStyle name="Input 2 5 16" xfId="929"/>
    <cellStyle name="Input 2 5 17" xfId="930"/>
    <cellStyle name="Input 2 5 18" xfId="931"/>
    <cellStyle name="Input 2 5 19" xfId="932"/>
    <cellStyle name="Input 2 5 2" xfId="933"/>
    <cellStyle name="Input 2 5 20" xfId="934"/>
    <cellStyle name="Input 2 5 21" xfId="935"/>
    <cellStyle name="Input 2 5 22" xfId="936"/>
    <cellStyle name="Input 2 5 23" xfId="937"/>
    <cellStyle name="Input 2 5 3" xfId="938"/>
    <cellStyle name="Input 2 5 4" xfId="939"/>
    <cellStyle name="Input 2 5 5" xfId="940"/>
    <cellStyle name="Input 2 5 6" xfId="941"/>
    <cellStyle name="Input 2 5 7" xfId="942"/>
    <cellStyle name="Input 2 5 8" xfId="943"/>
    <cellStyle name="Input 2 5 9" xfId="944"/>
    <cellStyle name="Input 2 6" xfId="945"/>
    <cellStyle name="Input 2 6 10" xfId="946"/>
    <cellStyle name="Input 2 6 11" xfId="947"/>
    <cellStyle name="Input 2 6 12" xfId="948"/>
    <cellStyle name="Input 2 6 13" xfId="949"/>
    <cellStyle name="Input 2 6 14" xfId="950"/>
    <cellStyle name="Input 2 6 15" xfId="951"/>
    <cellStyle name="Input 2 6 16" xfId="952"/>
    <cellStyle name="Input 2 6 17" xfId="953"/>
    <cellStyle name="Input 2 6 18" xfId="954"/>
    <cellStyle name="Input 2 6 19" xfId="955"/>
    <cellStyle name="Input 2 6 2" xfId="956"/>
    <cellStyle name="Input 2 6 20" xfId="957"/>
    <cellStyle name="Input 2 6 21" xfId="958"/>
    <cellStyle name="Input 2 6 22" xfId="959"/>
    <cellStyle name="Input 2 6 23" xfId="960"/>
    <cellStyle name="Input 2 6 3" xfId="961"/>
    <cellStyle name="Input 2 6 4" xfId="962"/>
    <cellStyle name="Input 2 6 5" xfId="963"/>
    <cellStyle name="Input 2 6 6" xfId="964"/>
    <cellStyle name="Input 2 6 7" xfId="965"/>
    <cellStyle name="Input 2 6 8" xfId="966"/>
    <cellStyle name="Input 2 6 9" xfId="967"/>
    <cellStyle name="Input 2 7" xfId="968"/>
    <cellStyle name="Input 2 7 10" xfId="969"/>
    <cellStyle name="Input 2 7 11" xfId="970"/>
    <cellStyle name="Input 2 7 12" xfId="971"/>
    <cellStyle name="Input 2 7 13" xfId="972"/>
    <cellStyle name="Input 2 7 14" xfId="973"/>
    <cellStyle name="Input 2 7 15" xfId="974"/>
    <cellStyle name="Input 2 7 16" xfId="975"/>
    <cellStyle name="Input 2 7 17" xfId="976"/>
    <cellStyle name="Input 2 7 18" xfId="977"/>
    <cellStyle name="Input 2 7 19" xfId="978"/>
    <cellStyle name="Input 2 7 2" xfId="979"/>
    <cellStyle name="Input 2 7 20" xfId="980"/>
    <cellStyle name="Input 2 7 21" xfId="981"/>
    <cellStyle name="Input 2 7 22" xfId="982"/>
    <cellStyle name="Input 2 7 23" xfId="983"/>
    <cellStyle name="Input 2 7 3" xfId="984"/>
    <cellStyle name="Input 2 7 4" xfId="985"/>
    <cellStyle name="Input 2 7 5" xfId="986"/>
    <cellStyle name="Input 2 7 6" xfId="987"/>
    <cellStyle name="Input 2 7 7" xfId="988"/>
    <cellStyle name="Input 2 7 8" xfId="989"/>
    <cellStyle name="Input 2 7 9" xfId="990"/>
    <cellStyle name="Input 2 8" xfId="991"/>
    <cellStyle name="Input 2 8 10" xfId="992"/>
    <cellStyle name="Input 2 8 11" xfId="993"/>
    <cellStyle name="Input 2 8 12" xfId="994"/>
    <cellStyle name="Input 2 8 13" xfId="995"/>
    <cellStyle name="Input 2 8 14" xfId="996"/>
    <cellStyle name="Input 2 8 15" xfId="997"/>
    <cellStyle name="Input 2 8 16" xfId="998"/>
    <cellStyle name="Input 2 8 17" xfId="999"/>
    <cellStyle name="Input 2 8 18" xfId="1000"/>
    <cellStyle name="Input 2 8 19" xfId="1001"/>
    <cellStyle name="Input 2 8 2" xfId="1002"/>
    <cellStyle name="Input 2 8 20" xfId="1003"/>
    <cellStyle name="Input 2 8 21" xfId="1004"/>
    <cellStyle name="Input 2 8 22" xfId="1005"/>
    <cellStyle name="Input 2 8 23" xfId="1006"/>
    <cellStyle name="Input 2 8 3" xfId="1007"/>
    <cellStyle name="Input 2 8 4" xfId="1008"/>
    <cellStyle name="Input 2 8 5" xfId="1009"/>
    <cellStyle name="Input 2 8 6" xfId="1010"/>
    <cellStyle name="Input 2 8 7" xfId="1011"/>
    <cellStyle name="Input 2 8 8" xfId="1012"/>
    <cellStyle name="Input 2 8 9" xfId="1013"/>
    <cellStyle name="Input 2 9" xfId="1014"/>
    <cellStyle name="Input 2 9 10" xfId="1015"/>
    <cellStyle name="Input 2 9 11" xfId="1016"/>
    <cellStyle name="Input 2 9 12" xfId="1017"/>
    <cellStyle name="Input 2 9 13" xfId="1018"/>
    <cellStyle name="Input 2 9 14" xfId="1019"/>
    <cellStyle name="Input 2 9 15" xfId="1020"/>
    <cellStyle name="Input 2 9 16" xfId="1021"/>
    <cellStyle name="Input 2 9 17" xfId="1022"/>
    <cellStyle name="Input 2 9 18" xfId="1023"/>
    <cellStyle name="Input 2 9 19" xfId="1024"/>
    <cellStyle name="Input 2 9 2" xfId="1025"/>
    <cellStyle name="Input 2 9 20" xfId="1026"/>
    <cellStyle name="Input 2 9 21" xfId="1027"/>
    <cellStyle name="Input 2 9 22" xfId="1028"/>
    <cellStyle name="Input 2 9 23" xfId="1029"/>
    <cellStyle name="Input 2 9 3" xfId="1030"/>
    <cellStyle name="Input 2 9 4" xfId="1031"/>
    <cellStyle name="Input 2 9 5" xfId="1032"/>
    <cellStyle name="Input 2 9 6" xfId="1033"/>
    <cellStyle name="Input 2 9 7" xfId="1034"/>
    <cellStyle name="Input 2 9 8" xfId="1035"/>
    <cellStyle name="Input 2 9 9" xfId="1036"/>
    <cellStyle name="Komórka połączona" xfId="1037"/>
    <cellStyle name="Komórka połączona 10" xfId="2413"/>
    <cellStyle name="Komórka połączona 11" xfId="2414"/>
    <cellStyle name="Komórka połączona 12" xfId="2415"/>
    <cellStyle name="Komórka połączona 13" xfId="2416"/>
    <cellStyle name="Komórka połączona 2" xfId="2417"/>
    <cellStyle name="Komórka połączona 3" xfId="2418"/>
    <cellStyle name="Komórka połączona 4" xfId="2419"/>
    <cellStyle name="Komórka połączona 5" xfId="2420"/>
    <cellStyle name="Komórka połączona 6" xfId="2421"/>
    <cellStyle name="Komórka połączona 7" xfId="2422"/>
    <cellStyle name="Komórka połączona 8" xfId="2423"/>
    <cellStyle name="Komórka połączona 9" xfId="2424"/>
    <cellStyle name="Komórka zaznaczona" xfId="1038"/>
    <cellStyle name="LineItemPrompt" xfId="1039"/>
    <cellStyle name="LineItemValue" xfId="1040"/>
    <cellStyle name="Linked Cell 2" xfId="1041"/>
    <cellStyle name="Nagłówek 1" xfId="1042"/>
    <cellStyle name="Nagłówek 2" xfId="1043"/>
    <cellStyle name="Nagłówek 3" xfId="1044"/>
    <cellStyle name="Nagłówek 3 10" xfId="2425"/>
    <cellStyle name="Nagłówek 3 11" xfId="2426"/>
    <cellStyle name="Nagłówek 3 12" xfId="2427"/>
    <cellStyle name="Nagłówek 3 13" xfId="2428"/>
    <cellStyle name="Nagłówek 3 14" xfId="2429"/>
    <cellStyle name="Nagłówek 3 2" xfId="1045"/>
    <cellStyle name="Nagłówek 3 2 2" xfId="1046"/>
    <cellStyle name="Nagłówek 3 2 3" xfId="1047"/>
    <cellStyle name="Nagłówek 3 2 4" xfId="1048"/>
    <cellStyle name="Nagłówek 3 2 5" xfId="1049"/>
    <cellStyle name="Nagłówek 3 2 6" xfId="1050"/>
    <cellStyle name="Nagłówek 3 2 7" xfId="1051"/>
    <cellStyle name="Nagłówek 3 3" xfId="1052"/>
    <cellStyle name="Nagłówek 3 4" xfId="1053"/>
    <cellStyle name="Nagłówek 3 5" xfId="1054"/>
    <cellStyle name="Nagłówek 3 6" xfId="1055"/>
    <cellStyle name="Nagłówek 3 7" xfId="1056"/>
    <cellStyle name="Nagłówek 3 8" xfId="1057"/>
    <cellStyle name="Nagłówek 3 9" xfId="2430"/>
    <cellStyle name="Nagłówek 4" xfId="1058"/>
    <cellStyle name="Neutral 2" xfId="1059"/>
    <cellStyle name="Neutral 2 2" xfId="1060"/>
    <cellStyle name="Neutralne" xfId="1061"/>
    <cellStyle name="Normal" xfId="0" builtinId="0"/>
    <cellStyle name="Normal 10" xfId="1062"/>
    <cellStyle name="Normal 10 2" xfId="1063"/>
    <cellStyle name="Normal 11" xfId="1064"/>
    <cellStyle name="Normal 12" xfId="1065"/>
    <cellStyle name="Normal 2" xfId="4"/>
    <cellStyle name="Normal 2 2" xfId="1066"/>
    <cellStyle name="Normal 2 2 2" xfId="96"/>
    <cellStyle name="Normal 2 2 3" xfId="2436"/>
    <cellStyle name="Normal 2 3" xfId="1067"/>
    <cellStyle name="Normal 2 3 2" xfId="2336"/>
    <cellStyle name="Normal 21" xfId="1068"/>
    <cellStyle name="Normal 23" xfId="1069"/>
    <cellStyle name="Normal 3" xfId="6"/>
    <cellStyle name="Normal 3 2" xfId="87"/>
    <cellStyle name="Normal 3 2 2" xfId="1070"/>
    <cellStyle name="Normal 3 2 3" xfId="2437"/>
    <cellStyle name="Normal 3 3" xfId="1071"/>
    <cellStyle name="Normal 3 4" xfId="1072"/>
    <cellStyle name="Normal 3 5" xfId="2434"/>
    <cellStyle name="Normal 4" xfId="1073"/>
    <cellStyle name="Normal 4 2" xfId="1074"/>
    <cellStyle name="Normal 5" xfId="1075"/>
    <cellStyle name="Normal 5 2" xfId="1076"/>
    <cellStyle name="Normal 6" xfId="1077"/>
    <cellStyle name="Normal 7" xfId="1078"/>
    <cellStyle name="Normal 7 2" xfId="1079"/>
    <cellStyle name="Normal 8" xfId="1080"/>
    <cellStyle name="Normal 8 2" xfId="2432"/>
    <cellStyle name="Normal 9" xfId="1081"/>
    <cellStyle name="Note 2" xfId="1082"/>
    <cellStyle name="Note 2 10" xfId="1083"/>
    <cellStyle name="Note 2 10 10" xfId="1084"/>
    <cellStyle name="Note 2 10 11" xfId="1085"/>
    <cellStyle name="Note 2 10 12" xfId="1086"/>
    <cellStyle name="Note 2 10 13" xfId="1087"/>
    <cellStyle name="Note 2 10 14" xfId="1088"/>
    <cellStyle name="Note 2 10 15" xfId="1089"/>
    <cellStyle name="Note 2 10 16" xfId="1090"/>
    <cellStyle name="Note 2 10 17" xfId="1091"/>
    <cellStyle name="Note 2 10 18" xfId="1092"/>
    <cellStyle name="Note 2 10 19" xfId="1093"/>
    <cellStyle name="Note 2 10 2" xfId="1094"/>
    <cellStyle name="Note 2 10 20" xfId="1095"/>
    <cellStyle name="Note 2 10 21" xfId="1096"/>
    <cellStyle name="Note 2 10 22" xfId="1097"/>
    <cellStyle name="Note 2 10 23" xfId="1098"/>
    <cellStyle name="Note 2 10 3" xfId="1099"/>
    <cellStyle name="Note 2 10 4" xfId="1100"/>
    <cellStyle name="Note 2 10 5" xfId="1101"/>
    <cellStyle name="Note 2 10 6" xfId="1102"/>
    <cellStyle name="Note 2 10 7" xfId="1103"/>
    <cellStyle name="Note 2 10 8" xfId="1104"/>
    <cellStyle name="Note 2 10 9" xfId="1105"/>
    <cellStyle name="Note 2 11" xfId="1106"/>
    <cellStyle name="Note 2 11 10" xfId="1107"/>
    <cellStyle name="Note 2 11 11" xfId="1108"/>
    <cellStyle name="Note 2 11 12" xfId="1109"/>
    <cellStyle name="Note 2 11 13" xfId="1110"/>
    <cellStyle name="Note 2 11 14" xfId="1111"/>
    <cellStyle name="Note 2 11 15" xfId="1112"/>
    <cellStyle name="Note 2 11 16" xfId="1113"/>
    <cellStyle name="Note 2 11 17" xfId="1114"/>
    <cellStyle name="Note 2 11 18" xfId="1115"/>
    <cellStyle name="Note 2 11 19" xfId="1116"/>
    <cellStyle name="Note 2 11 2" xfId="1117"/>
    <cellStyle name="Note 2 11 20" xfId="1118"/>
    <cellStyle name="Note 2 11 21" xfId="1119"/>
    <cellStyle name="Note 2 11 22" xfId="1120"/>
    <cellStyle name="Note 2 11 23" xfId="1121"/>
    <cellStyle name="Note 2 11 3" xfId="1122"/>
    <cellStyle name="Note 2 11 4" xfId="1123"/>
    <cellStyle name="Note 2 11 5" xfId="1124"/>
    <cellStyle name="Note 2 11 6" xfId="1125"/>
    <cellStyle name="Note 2 11 7" xfId="1126"/>
    <cellStyle name="Note 2 11 8" xfId="1127"/>
    <cellStyle name="Note 2 11 9" xfId="1128"/>
    <cellStyle name="Note 2 12" xfId="1129"/>
    <cellStyle name="Note 2 12 10" xfId="1130"/>
    <cellStyle name="Note 2 12 11" xfId="1131"/>
    <cellStyle name="Note 2 12 12" xfId="1132"/>
    <cellStyle name="Note 2 12 13" xfId="1133"/>
    <cellStyle name="Note 2 12 14" xfId="1134"/>
    <cellStyle name="Note 2 12 15" xfId="1135"/>
    <cellStyle name="Note 2 12 16" xfId="1136"/>
    <cellStyle name="Note 2 12 17" xfId="1137"/>
    <cellStyle name="Note 2 12 18" xfId="1138"/>
    <cellStyle name="Note 2 12 19" xfId="1139"/>
    <cellStyle name="Note 2 12 2" xfId="1140"/>
    <cellStyle name="Note 2 12 20" xfId="1141"/>
    <cellStyle name="Note 2 12 21" xfId="1142"/>
    <cellStyle name="Note 2 12 22" xfId="1143"/>
    <cellStyle name="Note 2 12 23" xfId="1144"/>
    <cellStyle name="Note 2 12 3" xfId="1145"/>
    <cellStyle name="Note 2 12 4" xfId="1146"/>
    <cellStyle name="Note 2 12 5" xfId="1147"/>
    <cellStyle name="Note 2 12 6" xfId="1148"/>
    <cellStyle name="Note 2 12 7" xfId="1149"/>
    <cellStyle name="Note 2 12 8" xfId="1150"/>
    <cellStyle name="Note 2 12 9" xfId="1151"/>
    <cellStyle name="Note 2 13" xfId="1152"/>
    <cellStyle name="Note 2 13 10" xfId="1153"/>
    <cellStyle name="Note 2 13 11" xfId="1154"/>
    <cellStyle name="Note 2 13 12" xfId="1155"/>
    <cellStyle name="Note 2 13 13" xfId="1156"/>
    <cellStyle name="Note 2 13 14" xfId="1157"/>
    <cellStyle name="Note 2 13 15" xfId="1158"/>
    <cellStyle name="Note 2 13 16" xfId="1159"/>
    <cellStyle name="Note 2 13 17" xfId="1160"/>
    <cellStyle name="Note 2 13 18" xfId="1161"/>
    <cellStyle name="Note 2 13 19" xfId="1162"/>
    <cellStyle name="Note 2 13 2" xfId="1163"/>
    <cellStyle name="Note 2 13 20" xfId="1164"/>
    <cellStyle name="Note 2 13 21" xfId="1165"/>
    <cellStyle name="Note 2 13 22" xfId="1166"/>
    <cellStyle name="Note 2 13 23" xfId="1167"/>
    <cellStyle name="Note 2 13 3" xfId="1168"/>
    <cellStyle name="Note 2 13 4" xfId="1169"/>
    <cellStyle name="Note 2 13 5" xfId="1170"/>
    <cellStyle name="Note 2 13 6" xfId="1171"/>
    <cellStyle name="Note 2 13 7" xfId="1172"/>
    <cellStyle name="Note 2 13 8" xfId="1173"/>
    <cellStyle name="Note 2 13 9" xfId="1174"/>
    <cellStyle name="Note 2 14" xfId="1175"/>
    <cellStyle name="Note 2 14 10" xfId="1176"/>
    <cellStyle name="Note 2 14 11" xfId="1177"/>
    <cellStyle name="Note 2 14 12" xfId="1178"/>
    <cellStyle name="Note 2 14 13" xfId="1179"/>
    <cellStyle name="Note 2 14 14" xfId="1180"/>
    <cellStyle name="Note 2 14 15" xfId="1181"/>
    <cellStyle name="Note 2 14 16" xfId="1182"/>
    <cellStyle name="Note 2 14 17" xfId="1183"/>
    <cellStyle name="Note 2 14 18" xfId="1184"/>
    <cellStyle name="Note 2 14 19" xfId="1185"/>
    <cellStyle name="Note 2 14 2" xfId="1186"/>
    <cellStyle name="Note 2 14 20" xfId="1187"/>
    <cellStyle name="Note 2 14 21" xfId="1188"/>
    <cellStyle name="Note 2 14 22" xfId="1189"/>
    <cellStyle name="Note 2 14 23" xfId="1190"/>
    <cellStyle name="Note 2 14 3" xfId="1191"/>
    <cellStyle name="Note 2 14 4" xfId="1192"/>
    <cellStyle name="Note 2 14 5" xfId="1193"/>
    <cellStyle name="Note 2 14 6" xfId="1194"/>
    <cellStyle name="Note 2 14 7" xfId="1195"/>
    <cellStyle name="Note 2 14 8" xfId="1196"/>
    <cellStyle name="Note 2 14 9" xfId="1197"/>
    <cellStyle name="Note 2 15" xfId="1198"/>
    <cellStyle name="Note 2 15 10" xfId="1199"/>
    <cellStyle name="Note 2 15 11" xfId="1200"/>
    <cellStyle name="Note 2 15 12" xfId="1201"/>
    <cellStyle name="Note 2 15 13" xfId="1202"/>
    <cellStyle name="Note 2 15 14" xfId="1203"/>
    <cellStyle name="Note 2 15 15" xfId="1204"/>
    <cellStyle name="Note 2 15 16" xfId="1205"/>
    <cellStyle name="Note 2 15 17" xfId="1206"/>
    <cellStyle name="Note 2 15 18" xfId="1207"/>
    <cellStyle name="Note 2 15 19" xfId="1208"/>
    <cellStyle name="Note 2 15 2" xfId="1209"/>
    <cellStyle name="Note 2 15 20" xfId="1210"/>
    <cellStyle name="Note 2 15 21" xfId="1211"/>
    <cellStyle name="Note 2 15 22" xfId="1212"/>
    <cellStyle name="Note 2 15 23" xfId="1213"/>
    <cellStyle name="Note 2 15 3" xfId="1214"/>
    <cellStyle name="Note 2 15 4" xfId="1215"/>
    <cellStyle name="Note 2 15 5" xfId="1216"/>
    <cellStyle name="Note 2 15 6" xfId="1217"/>
    <cellStyle name="Note 2 15 7" xfId="1218"/>
    <cellStyle name="Note 2 15 8" xfId="1219"/>
    <cellStyle name="Note 2 15 9" xfId="1220"/>
    <cellStyle name="Note 2 16" xfId="1221"/>
    <cellStyle name="Note 2 17" xfId="1222"/>
    <cellStyle name="Note 2 18" xfId="1223"/>
    <cellStyle name="Note 2 19" xfId="1224"/>
    <cellStyle name="Note 2 2" xfId="1225"/>
    <cellStyle name="Note 2 2 10" xfId="1226"/>
    <cellStyle name="Note 2 2 11" xfId="1227"/>
    <cellStyle name="Note 2 2 12" xfId="1228"/>
    <cellStyle name="Note 2 2 13" xfId="1229"/>
    <cellStyle name="Note 2 2 14" xfId="1230"/>
    <cellStyle name="Note 2 2 15" xfId="1231"/>
    <cellStyle name="Note 2 2 16" xfId="1232"/>
    <cellStyle name="Note 2 2 17" xfId="1233"/>
    <cellStyle name="Note 2 2 18" xfId="1234"/>
    <cellStyle name="Note 2 2 19" xfId="1235"/>
    <cellStyle name="Note 2 2 2" xfId="1236"/>
    <cellStyle name="Note 2 2 20" xfId="1237"/>
    <cellStyle name="Note 2 2 21" xfId="1238"/>
    <cellStyle name="Note 2 2 22" xfId="1239"/>
    <cellStyle name="Note 2 2 23" xfId="1240"/>
    <cellStyle name="Note 2 2 3" xfId="1241"/>
    <cellStyle name="Note 2 2 4" xfId="1242"/>
    <cellStyle name="Note 2 2 5" xfId="1243"/>
    <cellStyle name="Note 2 2 6" xfId="1244"/>
    <cellStyle name="Note 2 2 7" xfId="1245"/>
    <cellStyle name="Note 2 2 8" xfId="1246"/>
    <cellStyle name="Note 2 2 9" xfId="1247"/>
    <cellStyle name="Note 2 20" xfId="1248"/>
    <cellStyle name="Note 2 21" xfId="1249"/>
    <cellStyle name="Note 2 22" xfId="1250"/>
    <cellStyle name="Note 2 23" xfId="1251"/>
    <cellStyle name="Note 2 24" xfId="1252"/>
    <cellStyle name="Note 2 25" xfId="1253"/>
    <cellStyle name="Note 2 26" xfId="1254"/>
    <cellStyle name="Note 2 27" xfId="1255"/>
    <cellStyle name="Note 2 28" xfId="1256"/>
    <cellStyle name="Note 2 29" xfId="1257"/>
    <cellStyle name="Note 2 3" xfId="1258"/>
    <cellStyle name="Note 2 3 10" xfId="1259"/>
    <cellStyle name="Note 2 3 11" xfId="1260"/>
    <cellStyle name="Note 2 3 12" xfId="1261"/>
    <cellStyle name="Note 2 3 13" xfId="1262"/>
    <cellStyle name="Note 2 3 14" xfId="1263"/>
    <cellStyle name="Note 2 3 15" xfId="1264"/>
    <cellStyle name="Note 2 3 16" xfId="1265"/>
    <cellStyle name="Note 2 3 17" xfId="1266"/>
    <cellStyle name="Note 2 3 18" xfId="1267"/>
    <cellStyle name="Note 2 3 19" xfId="1268"/>
    <cellStyle name="Note 2 3 2" xfId="1269"/>
    <cellStyle name="Note 2 3 20" xfId="1270"/>
    <cellStyle name="Note 2 3 21" xfId="1271"/>
    <cellStyle name="Note 2 3 22" xfId="1272"/>
    <cellStyle name="Note 2 3 23" xfId="1273"/>
    <cellStyle name="Note 2 3 3" xfId="1274"/>
    <cellStyle name="Note 2 3 4" xfId="1275"/>
    <cellStyle name="Note 2 3 5" xfId="1276"/>
    <cellStyle name="Note 2 3 6" xfId="1277"/>
    <cellStyle name="Note 2 3 7" xfId="1278"/>
    <cellStyle name="Note 2 3 8" xfId="1279"/>
    <cellStyle name="Note 2 3 9" xfId="1280"/>
    <cellStyle name="Note 2 30" xfId="1281"/>
    <cellStyle name="Note 2 31" xfId="1282"/>
    <cellStyle name="Note 2 32" xfId="1283"/>
    <cellStyle name="Note 2 33" xfId="1284"/>
    <cellStyle name="Note 2 34" xfId="1285"/>
    <cellStyle name="Note 2 35" xfId="1286"/>
    <cellStyle name="Note 2 36" xfId="1287"/>
    <cellStyle name="Note 2 37" xfId="1288"/>
    <cellStyle name="Note 2 4" xfId="1289"/>
    <cellStyle name="Note 2 4 10" xfId="1290"/>
    <cellStyle name="Note 2 4 11" xfId="1291"/>
    <cellStyle name="Note 2 4 12" xfId="1292"/>
    <cellStyle name="Note 2 4 13" xfId="1293"/>
    <cellStyle name="Note 2 4 14" xfId="1294"/>
    <cellStyle name="Note 2 4 15" xfId="1295"/>
    <cellStyle name="Note 2 4 16" xfId="1296"/>
    <cellStyle name="Note 2 4 17" xfId="1297"/>
    <cellStyle name="Note 2 4 18" xfId="1298"/>
    <cellStyle name="Note 2 4 19" xfId="1299"/>
    <cellStyle name="Note 2 4 2" xfId="1300"/>
    <cellStyle name="Note 2 4 20" xfId="1301"/>
    <cellStyle name="Note 2 4 21" xfId="1302"/>
    <cellStyle name="Note 2 4 22" xfId="1303"/>
    <cellStyle name="Note 2 4 23" xfId="1304"/>
    <cellStyle name="Note 2 4 3" xfId="1305"/>
    <cellStyle name="Note 2 4 4" xfId="1306"/>
    <cellStyle name="Note 2 4 5" xfId="1307"/>
    <cellStyle name="Note 2 4 6" xfId="1308"/>
    <cellStyle name="Note 2 4 7" xfId="1309"/>
    <cellStyle name="Note 2 4 8" xfId="1310"/>
    <cellStyle name="Note 2 4 9" xfId="1311"/>
    <cellStyle name="Note 2 5" xfId="1312"/>
    <cellStyle name="Note 2 5 10" xfId="1313"/>
    <cellStyle name="Note 2 5 11" xfId="1314"/>
    <cellStyle name="Note 2 5 12" xfId="1315"/>
    <cellStyle name="Note 2 5 13" xfId="1316"/>
    <cellStyle name="Note 2 5 14" xfId="1317"/>
    <cellStyle name="Note 2 5 15" xfId="1318"/>
    <cellStyle name="Note 2 5 16" xfId="1319"/>
    <cellStyle name="Note 2 5 17" xfId="1320"/>
    <cellStyle name="Note 2 5 18" xfId="1321"/>
    <cellStyle name="Note 2 5 19" xfId="1322"/>
    <cellStyle name="Note 2 5 2" xfId="1323"/>
    <cellStyle name="Note 2 5 20" xfId="1324"/>
    <cellStyle name="Note 2 5 21" xfId="1325"/>
    <cellStyle name="Note 2 5 22" xfId="1326"/>
    <cellStyle name="Note 2 5 23" xfId="1327"/>
    <cellStyle name="Note 2 5 3" xfId="1328"/>
    <cellStyle name="Note 2 5 4" xfId="1329"/>
    <cellStyle name="Note 2 5 5" xfId="1330"/>
    <cellStyle name="Note 2 5 6" xfId="1331"/>
    <cellStyle name="Note 2 5 7" xfId="1332"/>
    <cellStyle name="Note 2 5 8" xfId="1333"/>
    <cellStyle name="Note 2 5 9" xfId="1334"/>
    <cellStyle name="Note 2 6" xfId="1335"/>
    <cellStyle name="Note 2 6 10" xfId="1336"/>
    <cellStyle name="Note 2 6 11" xfId="1337"/>
    <cellStyle name="Note 2 6 12" xfId="1338"/>
    <cellStyle name="Note 2 6 13" xfId="1339"/>
    <cellStyle name="Note 2 6 14" xfId="1340"/>
    <cellStyle name="Note 2 6 15" xfId="1341"/>
    <cellStyle name="Note 2 6 16" xfId="1342"/>
    <cellStyle name="Note 2 6 17" xfId="1343"/>
    <cellStyle name="Note 2 6 18" xfId="1344"/>
    <cellStyle name="Note 2 6 19" xfId="1345"/>
    <cellStyle name="Note 2 6 2" xfId="1346"/>
    <cellStyle name="Note 2 6 20" xfId="1347"/>
    <cellStyle name="Note 2 6 21" xfId="1348"/>
    <cellStyle name="Note 2 6 22" xfId="1349"/>
    <cellStyle name="Note 2 6 23" xfId="1350"/>
    <cellStyle name="Note 2 6 3" xfId="1351"/>
    <cellStyle name="Note 2 6 4" xfId="1352"/>
    <cellStyle name="Note 2 6 5" xfId="1353"/>
    <cellStyle name="Note 2 6 6" xfId="1354"/>
    <cellStyle name="Note 2 6 7" xfId="1355"/>
    <cellStyle name="Note 2 6 8" xfId="1356"/>
    <cellStyle name="Note 2 6 9" xfId="1357"/>
    <cellStyle name="Note 2 7" xfId="1358"/>
    <cellStyle name="Note 2 7 10" xfId="1359"/>
    <cellStyle name="Note 2 7 11" xfId="1360"/>
    <cellStyle name="Note 2 7 12" xfId="1361"/>
    <cellStyle name="Note 2 7 13" xfId="1362"/>
    <cellStyle name="Note 2 7 14" xfId="1363"/>
    <cellStyle name="Note 2 7 15" xfId="1364"/>
    <cellStyle name="Note 2 7 16" xfId="1365"/>
    <cellStyle name="Note 2 7 17" xfId="1366"/>
    <cellStyle name="Note 2 7 18" xfId="1367"/>
    <cellStyle name="Note 2 7 19" xfId="1368"/>
    <cellStyle name="Note 2 7 2" xfId="1369"/>
    <cellStyle name="Note 2 7 20" xfId="1370"/>
    <cellStyle name="Note 2 7 21" xfId="1371"/>
    <cellStyle name="Note 2 7 22" xfId="1372"/>
    <cellStyle name="Note 2 7 23" xfId="1373"/>
    <cellStyle name="Note 2 7 3" xfId="1374"/>
    <cellStyle name="Note 2 7 4" xfId="1375"/>
    <cellStyle name="Note 2 7 5" xfId="1376"/>
    <cellStyle name="Note 2 7 6" xfId="1377"/>
    <cellStyle name="Note 2 7 7" xfId="1378"/>
    <cellStyle name="Note 2 7 8" xfId="1379"/>
    <cellStyle name="Note 2 7 9" xfId="1380"/>
    <cellStyle name="Note 2 8" xfId="1381"/>
    <cellStyle name="Note 2 8 10" xfId="1382"/>
    <cellStyle name="Note 2 8 11" xfId="1383"/>
    <cellStyle name="Note 2 8 12" xfId="1384"/>
    <cellStyle name="Note 2 8 13" xfId="1385"/>
    <cellStyle name="Note 2 8 14" xfId="1386"/>
    <cellStyle name="Note 2 8 15" xfId="1387"/>
    <cellStyle name="Note 2 8 16" xfId="1388"/>
    <cellStyle name="Note 2 8 17" xfId="1389"/>
    <cellStyle name="Note 2 8 18" xfId="1390"/>
    <cellStyle name="Note 2 8 19" xfId="1391"/>
    <cellStyle name="Note 2 8 2" xfId="1392"/>
    <cellStyle name="Note 2 8 20" xfId="1393"/>
    <cellStyle name="Note 2 8 21" xfId="1394"/>
    <cellStyle name="Note 2 8 22" xfId="1395"/>
    <cellStyle name="Note 2 8 23" xfId="1396"/>
    <cellStyle name="Note 2 8 3" xfId="1397"/>
    <cellStyle name="Note 2 8 4" xfId="1398"/>
    <cellStyle name="Note 2 8 5" xfId="1399"/>
    <cellStyle name="Note 2 8 6" xfId="1400"/>
    <cellStyle name="Note 2 8 7" xfId="1401"/>
    <cellStyle name="Note 2 8 8" xfId="1402"/>
    <cellStyle name="Note 2 8 9" xfId="1403"/>
    <cellStyle name="Note 2 9" xfId="1404"/>
    <cellStyle name="Note 2 9 10" xfId="1405"/>
    <cellStyle name="Note 2 9 11" xfId="1406"/>
    <cellStyle name="Note 2 9 12" xfId="1407"/>
    <cellStyle name="Note 2 9 13" xfId="1408"/>
    <cellStyle name="Note 2 9 14" xfId="1409"/>
    <cellStyle name="Note 2 9 15" xfId="1410"/>
    <cellStyle name="Note 2 9 16" xfId="1411"/>
    <cellStyle name="Note 2 9 17" xfId="1412"/>
    <cellStyle name="Note 2 9 18" xfId="1413"/>
    <cellStyle name="Note 2 9 19" xfId="1414"/>
    <cellStyle name="Note 2 9 2" xfId="1415"/>
    <cellStyle name="Note 2 9 20" xfId="1416"/>
    <cellStyle name="Note 2 9 21" xfId="1417"/>
    <cellStyle name="Note 2 9 22" xfId="1418"/>
    <cellStyle name="Note 2 9 23" xfId="1419"/>
    <cellStyle name="Note 2 9 3" xfId="1420"/>
    <cellStyle name="Note 2 9 4" xfId="1421"/>
    <cellStyle name="Note 2 9 5" xfId="1422"/>
    <cellStyle name="Note 2 9 6" xfId="1423"/>
    <cellStyle name="Note 2 9 7" xfId="1424"/>
    <cellStyle name="Note 2 9 8" xfId="1425"/>
    <cellStyle name="Note 2 9 9" xfId="1426"/>
    <cellStyle name="Obliczenia" xfId="1427"/>
    <cellStyle name="Obliczenia 10" xfId="1428"/>
    <cellStyle name="Obliczenia 11" xfId="1429"/>
    <cellStyle name="Obliczenia 12" xfId="1430"/>
    <cellStyle name="Obliczenia 13" xfId="1431"/>
    <cellStyle name="Obliczenia 14" xfId="1432"/>
    <cellStyle name="Obliczenia 15" xfId="1433"/>
    <cellStyle name="Obliczenia 16" xfId="1434"/>
    <cellStyle name="Obliczenia 17" xfId="1435"/>
    <cellStyle name="Obliczenia 18" xfId="1436"/>
    <cellStyle name="Obliczenia 19" xfId="1437"/>
    <cellStyle name="Obliczenia 2" xfId="1438"/>
    <cellStyle name="Obliczenia 2 10" xfId="1439"/>
    <cellStyle name="Obliczenia 2 11" xfId="1440"/>
    <cellStyle name="Obliczenia 2 12" xfId="1441"/>
    <cellStyle name="Obliczenia 2 13" xfId="1442"/>
    <cellStyle name="Obliczenia 2 14" xfId="1443"/>
    <cellStyle name="Obliczenia 2 15" xfId="1444"/>
    <cellStyle name="Obliczenia 2 16" xfId="1445"/>
    <cellStyle name="Obliczenia 2 17" xfId="1446"/>
    <cellStyle name="Obliczenia 2 18" xfId="1447"/>
    <cellStyle name="Obliczenia 2 19" xfId="1448"/>
    <cellStyle name="Obliczenia 2 2" xfId="1449"/>
    <cellStyle name="Obliczenia 2 20" xfId="1450"/>
    <cellStyle name="Obliczenia 2 21" xfId="1451"/>
    <cellStyle name="Obliczenia 2 22" xfId="1452"/>
    <cellStyle name="Obliczenia 2 23" xfId="1453"/>
    <cellStyle name="Obliczenia 2 3" xfId="1454"/>
    <cellStyle name="Obliczenia 2 4" xfId="1455"/>
    <cellStyle name="Obliczenia 2 5" xfId="1456"/>
    <cellStyle name="Obliczenia 2 6" xfId="1457"/>
    <cellStyle name="Obliczenia 2 7" xfId="1458"/>
    <cellStyle name="Obliczenia 2 8" xfId="1459"/>
    <cellStyle name="Obliczenia 2 9" xfId="1460"/>
    <cellStyle name="Obliczenia 20" xfId="1461"/>
    <cellStyle name="Obliczenia 21" xfId="1462"/>
    <cellStyle name="Obliczenia 22" xfId="1463"/>
    <cellStyle name="Obliczenia 23" xfId="1464"/>
    <cellStyle name="Obliczenia 24" xfId="1465"/>
    <cellStyle name="Obliczenia 25" xfId="1466"/>
    <cellStyle name="Obliczenia 3" xfId="1467"/>
    <cellStyle name="Obliczenia 3 10" xfId="1468"/>
    <cellStyle name="Obliczenia 3 11" xfId="1469"/>
    <cellStyle name="Obliczenia 3 12" xfId="1470"/>
    <cellStyle name="Obliczenia 3 13" xfId="1471"/>
    <cellStyle name="Obliczenia 3 14" xfId="1472"/>
    <cellStyle name="Obliczenia 3 15" xfId="1473"/>
    <cellStyle name="Obliczenia 3 16" xfId="1474"/>
    <cellStyle name="Obliczenia 3 17" xfId="1475"/>
    <cellStyle name="Obliczenia 3 18" xfId="1476"/>
    <cellStyle name="Obliczenia 3 19" xfId="1477"/>
    <cellStyle name="Obliczenia 3 2" xfId="1478"/>
    <cellStyle name="Obliczenia 3 20" xfId="1479"/>
    <cellStyle name="Obliczenia 3 21" xfId="1480"/>
    <cellStyle name="Obliczenia 3 22" xfId="1481"/>
    <cellStyle name="Obliczenia 3 23" xfId="1482"/>
    <cellStyle name="Obliczenia 3 3" xfId="1483"/>
    <cellStyle name="Obliczenia 3 4" xfId="1484"/>
    <cellStyle name="Obliczenia 3 5" xfId="1485"/>
    <cellStyle name="Obliczenia 3 6" xfId="1486"/>
    <cellStyle name="Obliczenia 3 7" xfId="1487"/>
    <cellStyle name="Obliczenia 3 8" xfId="1488"/>
    <cellStyle name="Obliczenia 3 9" xfId="1489"/>
    <cellStyle name="Obliczenia 4" xfId="1490"/>
    <cellStyle name="Obliczenia 5" xfId="1491"/>
    <cellStyle name="Obliczenia 6" xfId="1492"/>
    <cellStyle name="Obliczenia 7" xfId="1493"/>
    <cellStyle name="Obliczenia 8" xfId="1494"/>
    <cellStyle name="Obliczenia 9" xfId="1495"/>
    <cellStyle name="Output 2" xfId="1496"/>
    <cellStyle name="Output 2 10" xfId="1497"/>
    <cellStyle name="Output 2 10 10" xfId="1498"/>
    <cellStyle name="Output 2 10 11" xfId="1499"/>
    <cellStyle name="Output 2 10 12" xfId="1500"/>
    <cellStyle name="Output 2 10 13" xfId="1501"/>
    <cellStyle name="Output 2 10 14" xfId="1502"/>
    <cellStyle name="Output 2 10 15" xfId="1503"/>
    <cellStyle name="Output 2 10 16" xfId="1504"/>
    <cellStyle name="Output 2 10 17" xfId="1505"/>
    <cellStyle name="Output 2 10 18" xfId="1506"/>
    <cellStyle name="Output 2 10 19" xfId="1507"/>
    <cellStyle name="Output 2 10 2" xfId="1508"/>
    <cellStyle name="Output 2 10 20" xfId="1509"/>
    <cellStyle name="Output 2 10 21" xfId="1510"/>
    <cellStyle name="Output 2 10 22" xfId="1511"/>
    <cellStyle name="Output 2 10 23" xfId="1512"/>
    <cellStyle name="Output 2 10 3" xfId="1513"/>
    <cellStyle name="Output 2 10 4" xfId="1514"/>
    <cellStyle name="Output 2 10 5" xfId="1515"/>
    <cellStyle name="Output 2 10 6" xfId="1516"/>
    <cellStyle name="Output 2 10 7" xfId="1517"/>
    <cellStyle name="Output 2 10 8" xfId="1518"/>
    <cellStyle name="Output 2 10 9" xfId="1519"/>
    <cellStyle name="Output 2 11" xfId="1520"/>
    <cellStyle name="Output 2 11 10" xfId="1521"/>
    <cellStyle name="Output 2 11 11" xfId="1522"/>
    <cellStyle name="Output 2 11 12" xfId="1523"/>
    <cellStyle name="Output 2 11 13" xfId="1524"/>
    <cellStyle name="Output 2 11 14" xfId="1525"/>
    <cellStyle name="Output 2 11 15" xfId="1526"/>
    <cellStyle name="Output 2 11 16" xfId="1527"/>
    <cellStyle name="Output 2 11 17" xfId="1528"/>
    <cellStyle name="Output 2 11 18" xfId="1529"/>
    <cellStyle name="Output 2 11 19" xfId="1530"/>
    <cellStyle name="Output 2 11 2" xfId="1531"/>
    <cellStyle name="Output 2 11 20" xfId="1532"/>
    <cellStyle name="Output 2 11 21" xfId="1533"/>
    <cellStyle name="Output 2 11 22" xfId="1534"/>
    <cellStyle name="Output 2 11 23" xfId="1535"/>
    <cellStyle name="Output 2 11 3" xfId="1536"/>
    <cellStyle name="Output 2 11 4" xfId="1537"/>
    <cellStyle name="Output 2 11 5" xfId="1538"/>
    <cellStyle name="Output 2 11 6" xfId="1539"/>
    <cellStyle name="Output 2 11 7" xfId="1540"/>
    <cellStyle name="Output 2 11 8" xfId="1541"/>
    <cellStyle name="Output 2 11 9" xfId="1542"/>
    <cellStyle name="Output 2 12" xfId="1543"/>
    <cellStyle name="Output 2 12 10" xfId="1544"/>
    <cellStyle name="Output 2 12 11" xfId="1545"/>
    <cellStyle name="Output 2 12 12" xfId="1546"/>
    <cellStyle name="Output 2 12 13" xfId="1547"/>
    <cellStyle name="Output 2 12 14" xfId="1548"/>
    <cellStyle name="Output 2 12 15" xfId="1549"/>
    <cellStyle name="Output 2 12 16" xfId="1550"/>
    <cellStyle name="Output 2 12 17" xfId="1551"/>
    <cellStyle name="Output 2 12 18" xfId="1552"/>
    <cellStyle name="Output 2 12 19" xfId="1553"/>
    <cellStyle name="Output 2 12 2" xfId="1554"/>
    <cellStyle name="Output 2 12 20" xfId="1555"/>
    <cellStyle name="Output 2 12 21" xfId="1556"/>
    <cellStyle name="Output 2 12 22" xfId="1557"/>
    <cellStyle name="Output 2 12 23" xfId="1558"/>
    <cellStyle name="Output 2 12 3" xfId="1559"/>
    <cellStyle name="Output 2 12 4" xfId="1560"/>
    <cellStyle name="Output 2 12 5" xfId="1561"/>
    <cellStyle name="Output 2 12 6" xfId="1562"/>
    <cellStyle name="Output 2 12 7" xfId="1563"/>
    <cellStyle name="Output 2 12 8" xfId="1564"/>
    <cellStyle name="Output 2 12 9" xfId="1565"/>
    <cellStyle name="Output 2 13" xfId="1566"/>
    <cellStyle name="Output 2 13 10" xfId="1567"/>
    <cellStyle name="Output 2 13 11" xfId="1568"/>
    <cellStyle name="Output 2 13 12" xfId="1569"/>
    <cellStyle name="Output 2 13 13" xfId="1570"/>
    <cellStyle name="Output 2 13 14" xfId="1571"/>
    <cellStyle name="Output 2 13 15" xfId="1572"/>
    <cellStyle name="Output 2 13 16" xfId="1573"/>
    <cellStyle name="Output 2 13 17" xfId="1574"/>
    <cellStyle name="Output 2 13 18" xfId="1575"/>
    <cellStyle name="Output 2 13 19" xfId="1576"/>
    <cellStyle name="Output 2 13 2" xfId="1577"/>
    <cellStyle name="Output 2 13 20" xfId="1578"/>
    <cellStyle name="Output 2 13 21" xfId="1579"/>
    <cellStyle name="Output 2 13 22" xfId="1580"/>
    <cellStyle name="Output 2 13 23" xfId="1581"/>
    <cellStyle name="Output 2 13 3" xfId="1582"/>
    <cellStyle name="Output 2 13 4" xfId="1583"/>
    <cellStyle name="Output 2 13 5" xfId="1584"/>
    <cellStyle name="Output 2 13 6" xfId="1585"/>
    <cellStyle name="Output 2 13 7" xfId="1586"/>
    <cellStyle name="Output 2 13 8" xfId="1587"/>
    <cellStyle name="Output 2 13 9" xfId="1588"/>
    <cellStyle name="Output 2 14" xfId="1589"/>
    <cellStyle name="Output 2 14 10" xfId="1590"/>
    <cellStyle name="Output 2 14 11" xfId="1591"/>
    <cellStyle name="Output 2 14 12" xfId="1592"/>
    <cellStyle name="Output 2 14 13" xfId="1593"/>
    <cellStyle name="Output 2 14 14" xfId="1594"/>
    <cellStyle name="Output 2 14 15" xfId="1595"/>
    <cellStyle name="Output 2 14 16" xfId="1596"/>
    <cellStyle name="Output 2 14 17" xfId="1597"/>
    <cellStyle name="Output 2 14 18" xfId="1598"/>
    <cellStyle name="Output 2 14 19" xfId="1599"/>
    <cellStyle name="Output 2 14 2" xfId="1600"/>
    <cellStyle name="Output 2 14 20" xfId="1601"/>
    <cellStyle name="Output 2 14 21" xfId="1602"/>
    <cellStyle name="Output 2 14 22" xfId="1603"/>
    <cellStyle name="Output 2 14 23" xfId="1604"/>
    <cellStyle name="Output 2 14 3" xfId="1605"/>
    <cellStyle name="Output 2 14 4" xfId="1606"/>
    <cellStyle name="Output 2 14 5" xfId="1607"/>
    <cellStyle name="Output 2 14 6" xfId="1608"/>
    <cellStyle name="Output 2 14 7" xfId="1609"/>
    <cellStyle name="Output 2 14 8" xfId="1610"/>
    <cellStyle name="Output 2 14 9" xfId="1611"/>
    <cellStyle name="Output 2 15" xfId="1612"/>
    <cellStyle name="Output 2 15 10" xfId="1613"/>
    <cellStyle name="Output 2 15 11" xfId="1614"/>
    <cellStyle name="Output 2 15 12" xfId="1615"/>
    <cellStyle name="Output 2 15 13" xfId="1616"/>
    <cellStyle name="Output 2 15 14" xfId="1617"/>
    <cellStyle name="Output 2 15 15" xfId="1618"/>
    <cellStyle name="Output 2 15 16" xfId="1619"/>
    <cellStyle name="Output 2 15 17" xfId="1620"/>
    <cellStyle name="Output 2 15 18" xfId="1621"/>
    <cellStyle name="Output 2 15 19" xfId="1622"/>
    <cellStyle name="Output 2 15 2" xfId="1623"/>
    <cellStyle name="Output 2 15 20" xfId="1624"/>
    <cellStyle name="Output 2 15 21" xfId="1625"/>
    <cellStyle name="Output 2 15 22" xfId="1626"/>
    <cellStyle name="Output 2 15 23" xfId="1627"/>
    <cellStyle name="Output 2 15 3" xfId="1628"/>
    <cellStyle name="Output 2 15 4" xfId="1629"/>
    <cellStyle name="Output 2 15 5" xfId="1630"/>
    <cellStyle name="Output 2 15 6" xfId="1631"/>
    <cellStyle name="Output 2 15 7" xfId="1632"/>
    <cellStyle name="Output 2 15 8" xfId="1633"/>
    <cellStyle name="Output 2 15 9" xfId="1634"/>
    <cellStyle name="Output 2 16" xfId="1635"/>
    <cellStyle name="Output 2 17" xfId="1636"/>
    <cellStyle name="Output 2 18" xfId="1637"/>
    <cellStyle name="Output 2 19" xfId="1638"/>
    <cellStyle name="Output 2 2" xfId="1639"/>
    <cellStyle name="Output 2 2 10" xfId="1640"/>
    <cellStyle name="Output 2 2 11" xfId="1641"/>
    <cellStyle name="Output 2 2 12" xfId="1642"/>
    <cellStyle name="Output 2 2 13" xfId="1643"/>
    <cellStyle name="Output 2 2 14" xfId="1644"/>
    <cellStyle name="Output 2 2 15" xfId="1645"/>
    <cellStyle name="Output 2 2 16" xfId="1646"/>
    <cellStyle name="Output 2 2 17" xfId="1647"/>
    <cellStyle name="Output 2 2 18" xfId="1648"/>
    <cellStyle name="Output 2 2 19" xfId="1649"/>
    <cellStyle name="Output 2 2 2" xfId="1650"/>
    <cellStyle name="Output 2 2 20" xfId="1651"/>
    <cellStyle name="Output 2 2 21" xfId="1652"/>
    <cellStyle name="Output 2 2 22" xfId="1653"/>
    <cellStyle name="Output 2 2 23" xfId="1654"/>
    <cellStyle name="Output 2 2 3" xfId="1655"/>
    <cellStyle name="Output 2 2 4" xfId="1656"/>
    <cellStyle name="Output 2 2 5" xfId="1657"/>
    <cellStyle name="Output 2 2 6" xfId="1658"/>
    <cellStyle name="Output 2 2 7" xfId="1659"/>
    <cellStyle name="Output 2 2 8" xfId="1660"/>
    <cellStyle name="Output 2 2 9" xfId="1661"/>
    <cellStyle name="Output 2 20" xfId="1662"/>
    <cellStyle name="Output 2 21" xfId="1663"/>
    <cellStyle name="Output 2 22" xfId="1664"/>
    <cellStyle name="Output 2 23" xfId="1665"/>
    <cellStyle name="Output 2 24" xfId="1666"/>
    <cellStyle name="Output 2 25" xfId="1667"/>
    <cellStyle name="Output 2 26" xfId="1668"/>
    <cellStyle name="Output 2 27" xfId="1669"/>
    <cellStyle name="Output 2 28" xfId="1670"/>
    <cellStyle name="Output 2 29" xfId="1671"/>
    <cellStyle name="Output 2 3" xfId="1672"/>
    <cellStyle name="Output 2 3 10" xfId="1673"/>
    <cellStyle name="Output 2 3 11" xfId="1674"/>
    <cellStyle name="Output 2 3 12" xfId="1675"/>
    <cellStyle name="Output 2 3 13" xfId="1676"/>
    <cellStyle name="Output 2 3 14" xfId="1677"/>
    <cellStyle name="Output 2 3 15" xfId="1678"/>
    <cellStyle name="Output 2 3 16" xfId="1679"/>
    <cellStyle name="Output 2 3 17" xfId="1680"/>
    <cellStyle name="Output 2 3 18" xfId="1681"/>
    <cellStyle name="Output 2 3 19" xfId="1682"/>
    <cellStyle name="Output 2 3 2" xfId="1683"/>
    <cellStyle name="Output 2 3 20" xfId="1684"/>
    <cellStyle name="Output 2 3 21" xfId="1685"/>
    <cellStyle name="Output 2 3 22" xfId="1686"/>
    <cellStyle name="Output 2 3 23" xfId="1687"/>
    <cellStyle name="Output 2 3 3" xfId="1688"/>
    <cellStyle name="Output 2 3 4" xfId="1689"/>
    <cellStyle name="Output 2 3 5" xfId="1690"/>
    <cellStyle name="Output 2 3 6" xfId="1691"/>
    <cellStyle name="Output 2 3 7" xfId="1692"/>
    <cellStyle name="Output 2 3 8" xfId="1693"/>
    <cellStyle name="Output 2 3 9" xfId="1694"/>
    <cellStyle name="Output 2 30" xfId="1695"/>
    <cellStyle name="Output 2 31" xfId="1696"/>
    <cellStyle name="Output 2 32" xfId="1697"/>
    <cellStyle name="Output 2 33" xfId="1698"/>
    <cellStyle name="Output 2 34" xfId="1699"/>
    <cellStyle name="Output 2 35" xfId="1700"/>
    <cellStyle name="Output 2 36" xfId="1701"/>
    <cellStyle name="Output 2 37" xfId="1702"/>
    <cellStyle name="Output 2 4" xfId="1703"/>
    <cellStyle name="Output 2 4 10" xfId="1704"/>
    <cellStyle name="Output 2 4 11" xfId="1705"/>
    <cellStyle name="Output 2 4 12" xfId="1706"/>
    <cellStyle name="Output 2 4 13" xfId="1707"/>
    <cellStyle name="Output 2 4 14" xfId="1708"/>
    <cellStyle name="Output 2 4 15" xfId="1709"/>
    <cellStyle name="Output 2 4 16" xfId="1710"/>
    <cellStyle name="Output 2 4 17" xfId="1711"/>
    <cellStyle name="Output 2 4 18" xfId="1712"/>
    <cellStyle name="Output 2 4 19" xfId="1713"/>
    <cellStyle name="Output 2 4 2" xfId="1714"/>
    <cellStyle name="Output 2 4 20" xfId="1715"/>
    <cellStyle name="Output 2 4 21" xfId="1716"/>
    <cellStyle name="Output 2 4 22" xfId="1717"/>
    <cellStyle name="Output 2 4 23" xfId="1718"/>
    <cellStyle name="Output 2 4 3" xfId="1719"/>
    <cellStyle name="Output 2 4 4" xfId="1720"/>
    <cellStyle name="Output 2 4 5" xfId="1721"/>
    <cellStyle name="Output 2 4 6" xfId="1722"/>
    <cellStyle name="Output 2 4 7" xfId="1723"/>
    <cellStyle name="Output 2 4 8" xfId="1724"/>
    <cellStyle name="Output 2 4 9" xfId="1725"/>
    <cellStyle name="Output 2 5" xfId="1726"/>
    <cellStyle name="Output 2 5 10" xfId="1727"/>
    <cellStyle name="Output 2 5 11" xfId="1728"/>
    <cellStyle name="Output 2 5 12" xfId="1729"/>
    <cellStyle name="Output 2 5 13" xfId="1730"/>
    <cellStyle name="Output 2 5 14" xfId="1731"/>
    <cellStyle name="Output 2 5 15" xfId="1732"/>
    <cellStyle name="Output 2 5 16" xfId="1733"/>
    <cellStyle name="Output 2 5 17" xfId="1734"/>
    <cellStyle name="Output 2 5 18" xfId="1735"/>
    <cellStyle name="Output 2 5 19" xfId="1736"/>
    <cellStyle name="Output 2 5 2" xfId="1737"/>
    <cellStyle name="Output 2 5 20" xfId="1738"/>
    <cellStyle name="Output 2 5 21" xfId="1739"/>
    <cellStyle name="Output 2 5 22" xfId="1740"/>
    <cellStyle name="Output 2 5 23" xfId="1741"/>
    <cellStyle name="Output 2 5 3" xfId="1742"/>
    <cellStyle name="Output 2 5 4" xfId="1743"/>
    <cellStyle name="Output 2 5 5" xfId="1744"/>
    <cellStyle name="Output 2 5 6" xfId="1745"/>
    <cellStyle name="Output 2 5 7" xfId="1746"/>
    <cellStyle name="Output 2 5 8" xfId="1747"/>
    <cellStyle name="Output 2 5 9" xfId="1748"/>
    <cellStyle name="Output 2 6" xfId="1749"/>
    <cellStyle name="Output 2 6 10" xfId="1750"/>
    <cellStyle name="Output 2 6 11" xfId="1751"/>
    <cellStyle name="Output 2 6 12" xfId="1752"/>
    <cellStyle name="Output 2 6 13" xfId="1753"/>
    <cellStyle name="Output 2 6 14" xfId="1754"/>
    <cellStyle name="Output 2 6 15" xfId="1755"/>
    <cellStyle name="Output 2 6 16" xfId="1756"/>
    <cellStyle name="Output 2 6 17" xfId="1757"/>
    <cellStyle name="Output 2 6 18" xfId="1758"/>
    <cellStyle name="Output 2 6 19" xfId="1759"/>
    <cellStyle name="Output 2 6 2" xfId="1760"/>
    <cellStyle name="Output 2 6 20" xfId="1761"/>
    <cellStyle name="Output 2 6 21" xfId="1762"/>
    <cellStyle name="Output 2 6 22" xfId="1763"/>
    <cellStyle name="Output 2 6 23" xfId="1764"/>
    <cellStyle name="Output 2 6 3" xfId="1765"/>
    <cellStyle name="Output 2 6 4" xfId="1766"/>
    <cellStyle name="Output 2 6 5" xfId="1767"/>
    <cellStyle name="Output 2 6 6" xfId="1768"/>
    <cellStyle name="Output 2 6 7" xfId="1769"/>
    <cellStyle name="Output 2 6 8" xfId="1770"/>
    <cellStyle name="Output 2 6 9" xfId="1771"/>
    <cellStyle name="Output 2 7" xfId="1772"/>
    <cellStyle name="Output 2 7 10" xfId="1773"/>
    <cellStyle name="Output 2 7 11" xfId="1774"/>
    <cellStyle name="Output 2 7 12" xfId="1775"/>
    <cellStyle name="Output 2 7 13" xfId="1776"/>
    <cellStyle name="Output 2 7 14" xfId="1777"/>
    <cellStyle name="Output 2 7 15" xfId="1778"/>
    <cellStyle name="Output 2 7 16" xfId="1779"/>
    <cellStyle name="Output 2 7 17" xfId="1780"/>
    <cellStyle name="Output 2 7 18" xfId="1781"/>
    <cellStyle name="Output 2 7 19" xfId="1782"/>
    <cellStyle name="Output 2 7 2" xfId="1783"/>
    <cellStyle name="Output 2 7 20" xfId="1784"/>
    <cellStyle name="Output 2 7 21" xfId="1785"/>
    <cellStyle name="Output 2 7 22" xfId="1786"/>
    <cellStyle name="Output 2 7 23" xfId="1787"/>
    <cellStyle name="Output 2 7 3" xfId="1788"/>
    <cellStyle name="Output 2 7 4" xfId="1789"/>
    <cellStyle name="Output 2 7 5" xfId="1790"/>
    <cellStyle name="Output 2 7 6" xfId="1791"/>
    <cellStyle name="Output 2 7 7" xfId="1792"/>
    <cellStyle name="Output 2 7 8" xfId="1793"/>
    <cellStyle name="Output 2 7 9" xfId="1794"/>
    <cellStyle name="Output 2 8" xfId="1795"/>
    <cellStyle name="Output 2 8 10" xfId="1796"/>
    <cellStyle name="Output 2 8 11" xfId="1797"/>
    <cellStyle name="Output 2 8 12" xfId="1798"/>
    <cellStyle name="Output 2 8 13" xfId="1799"/>
    <cellStyle name="Output 2 8 14" xfId="1800"/>
    <cellStyle name="Output 2 8 15" xfId="1801"/>
    <cellStyle name="Output 2 8 16" xfId="1802"/>
    <cellStyle name="Output 2 8 17" xfId="1803"/>
    <cellStyle name="Output 2 8 18" xfId="1804"/>
    <cellStyle name="Output 2 8 19" xfId="1805"/>
    <cellStyle name="Output 2 8 2" xfId="1806"/>
    <cellStyle name="Output 2 8 20" xfId="1807"/>
    <cellStyle name="Output 2 8 21" xfId="1808"/>
    <cellStyle name="Output 2 8 22" xfId="1809"/>
    <cellStyle name="Output 2 8 23" xfId="1810"/>
    <cellStyle name="Output 2 8 3" xfId="1811"/>
    <cellStyle name="Output 2 8 4" xfId="1812"/>
    <cellStyle name="Output 2 8 5" xfId="1813"/>
    <cellStyle name="Output 2 8 6" xfId="1814"/>
    <cellStyle name="Output 2 8 7" xfId="1815"/>
    <cellStyle name="Output 2 8 8" xfId="1816"/>
    <cellStyle name="Output 2 8 9" xfId="1817"/>
    <cellStyle name="Output 2 9" xfId="1818"/>
    <cellStyle name="Output 2 9 10" xfId="1819"/>
    <cellStyle name="Output 2 9 11" xfId="1820"/>
    <cellStyle name="Output 2 9 12" xfId="1821"/>
    <cellStyle name="Output 2 9 13" xfId="1822"/>
    <cellStyle name="Output 2 9 14" xfId="1823"/>
    <cellStyle name="Output 2 9 15" xfId="1824"/>
    <cellStyle name="Output 2 9 16" xfId="1825"/>
    <cellStyle name="Output 2 9 17" xfId="1826"/>
    <cellStyle name="Output 2 9 18" xfId="1827"/>
    <cellStyle name="Output 2 9 19" xfId="1828"/>
    <cellStyle name="Output 2 9 2" xfId="1829"/>
    <cellStyle name="Output 2 9 20" xfId="1830"/>
    <cellStyle name="Output 2 9 21" xfId="1831"/>
    <cellStyle name="Output 2 9 22" xfId="1832"/>
    <cellStyle name="Output 2 9 23" xfId="1833"/>
    <cellStyle name="Output 2 9 3" xfId="1834"/>
    <cellStyle name="Output 2 9 4" xfId="1835"/>
    <cellStyle name="Output 2 9 5" xfId="1836"/>
    <cellStyle name="Output 2 9 6" xfId="1837"/>
    <cellStyle name="Output 2 9 7" xfId="1838"/>
    <cellStyle name="Output 2 9 8" xfId="1839"/>
    <cellStyle name="Output 2 9 9" xfId="1840"/>
    <cellStyle name="OUTPUT AMOUNTS" xfId="1841"/>
    <cellStyle name="OUTPUT COLUMN HEADINGS" xfId="1842"/>
    <cellStyle name="OUTPUT LINE ITEMS" xfId="1843"/>
    <cellStyle name="OUTPUT REPORT HEADING" xfId="1844"/>
    <cellStyle name="OUTPUT REPORT TITLE" xfId="1845"/>
    <cellStyle name="Percent" xfId="1" builtinId="5"/>
    <cellStyle name="Percent 2" xfId="5"/>
    <cellStyle name="Percent 2 2" xfId="1846"/>
    <cellStyle name="Percent 2 2 2" xfId="2438"/>
    <cellStyle name="Percent 2 3" xfId="2439"/>
    <cellStyle name="Percent 3" xfId="88"/>
    <cellStyle name="Percent 3 2" xfId="93"/>
    <cellStyle name="Percent 4" xfId="1847"/>
    <cellStyle name="Percent 4 2" xfId="2433"/>
    <cellStyle name="Percent 5" xfId="2338"/>
    <cellStyle name="ReportTitlePrompt" xfId="1848"/>
    <cellStyle name="ReportTitleValue" xfId="1849"/>
    <cellStyle name="RowAcctAbovePrompt" xfId="1850"/>
    <cellStyle name="RowAcctSOBAbovePrompt" xfId="1851"/>
    <cellStyle name="RowAcctSOBValue" xfId="1852"/>
    <cellStyle name="RowAcctValue" xfId="1853"/>
    <cellStyle name="RowAttrAbovePrompt" xfId="1854"/>
    <cellStyle name="RowAttrValue" xfId="1855"/>
    <cellStyle name="RowColSetAbovePrompt" xfId="1856"/>
    <cellStyle name="RowColSetLeftPrompt" xfId="1857"/>
    <cellStyle name="RowColSetValue" xfId="1858"/>
    <cellStyle name="RowLeftPrompt" xfId="1859"/>
    <cellStyle name="SampleUsingFormatMask" xfId="1860"/>
    <cellStyle name="SampleWithNoFormatMask" xfId="1861"/>
    <cellStyle name="SecondHeader1" xfId="1862"/>
    <cellStyle name="StandardNumberRow1" xfId="1863"/>
    <cellStyle name="StandardRowHeader1" xfId="1864"/>
    <cellStyle name="STYLE1" xfId="1865"/>
    <cellStyle name="STYLE2" xfId="1866"/>
    <cellStyle name="STYLE3" xfId="1867"/>
    <cellStyle name="Suma" xfId="1868"/>
    <cellStyle name="Suma 10" xfId="1869"/>
    <cellStyle name="Suma 11" xfId="1870"/>
    <cellStyle name="Suma 12" xfId="1871"/>
    <cellStyle name="Suma 13" xfId="1872"/>
    <cellStyle name="Suma 14" xfId="1873"/>
    <cellStyle name="Suma 15" xfId="1874"/>
    <cellStyle name="Suma 16" xfId="1875"/>
    <cellStyle name="Suma 17" xfId="1876"/>
    <cellStyle name="Suma 18" xfId="1877"/>
    <cellStyle name="Suma 19" xfId="1878"/>
    <cellStyle name="Suma 2" xfId="1879"/>
    <cellStyle name="Suma 2 10" xfId="1880"/>
    <cellStyle name="Suma 2 11" xfId="1881"/>
    <cellStyle name="Suma 2 12" xfId="1882"/>
    <cellStyle name="Suma 2 13" xfId="1883"/>
    <cellStyle name="Suma 2 14" xfId="1884"/>
    <cellStyle name="Suma 2 15" xfId="1885"/>
    <cellStyle name="Suma 2 16" xfId="1886"/>
    <cellStyle name="Suma 2 17" xfId="1887"/>
    <cellStyle name="Suma 2 18" xfId="1888"/>
    <cellStyle name="Suma 2 19" xfId="1889"/>
    <cellStyle name="Suma 2 2" xfId="1890"/>
    <cellStyle name="Suma 2 20" xfId="1891"/>
    <cellStyle name="Suma 2 21" xfId="1892"/>
    <cellStyle name="Suma 2 22" xfId="1893"/>
    <cellStyle name="Suma 2 23" xfId="1894"/>
    <cellStyle name="Suma 2 3" xfId="1895"/>
    <cellStyle name="Suma 2 4" xfId="1896"/>
    <cellStyle name="Suma 2 5" xfId="1897"/>
    <cellStyle name="Suma 2 6" xfId="1898"/>
    <cellStyle name="Suma 2 7" xfId="1899"/>
    <cellStyle name="Suma 2 8" xfId="1900"/>
    <cellStyle name="Suma 2 9" xfId="1901"/>
    <cellStyle name="Suma 20" xfId="1902"/>
    <cellStyle name="Suma 21" xfId="1903"/>
    <cellStyle name="Suma 22" xfId="1904"/>
    <cellStyle name="Suma 23" xfId="1905"/>
    <cellStyle name="Suma 24" xfId="1906"/>
    <cellStyle name="Suma 25" xfId="1907"/>
    <cellStyle name="Suma 3" xfId="1908"/>
    <cellStyle name="Suma 3 10" xfId="1909"/>
    <cellStyle name="Suma 3 11" xfId="1910"/>
    <cellStyle name="Suma 3 12" xfId="1911"/>
    <cellStyle name="Suma 3 13" xfId="1912"/>
    <cellStyle name="Suma 3 14" xfId="1913"/>
    <cellStyle name="Suma 3 15" xfId="1914"/>
    <cellStyle name="Suma 3 16" xfId="1915"/>
    <cellStyle name="Suma 3 17" xfId="1916"/>
    <cellStyle name="Suma 3 18" xfId="1917"/>
    <cellStyle name="Suma 3 19" xfId="1918"/>
    <cellStyle name="Suma 3 2" xfId="1919"/>
    <cellStyle name="Suma 3 20" xfId="1920"/>
    <cellStyle name="Suma 3 21" xfId="1921"/>
    <cellStyle name="Suma 3 22" xfId="1922"/>
    <cellStyle name="Suma 3 23" xfId="1923"/>
    <cellStyle name="Suma 3 3" xfId="1924"/>
    <cellStyle name="Suma 3 4" xfId="1925"/>
    <cellStyle name="Suma 3 5" xfId="1926"/>
    <cellStyle name="Suma 3 6" xfId="1927"/>
    <cellStyle name="Suma 3 7" xfId="1928"/>
    <cellStyle name="Suma 3 8" xfId="1929"/>
    <cellStyle name="Suma 3 9" xfId="1930"/>
    <cellStyle name="Suma 4" xfId="1931"/>
    <cellStyle name="Suma 5" xfId="1932"/>
    <cellStyle name="Suma 6" xfId="1933"/>
    <cellStyle name="Suma 7" xfId="1934"/>
    <cellStyle name="Suma 8" xfId="1935"/>
    <cellStyle name="Suma 9" xfId="1936"/>
    <cellStyle name="Tekst objaśnienia" xfId="1937"/>
    <cellStyle name="Tekst ostrzeżenia" xfId="1938"/>
    <cellStyle name="Text" xfId="1939"/>
    <cellStyle name="Title 2" xfId="1940"/>
    <cellStyle name="Total 2" xfId="1941"/>
    <cellStyle name="Total 2 10" xfId="1942"/>
    <cellStyle name="Total 2 10 10" xfId="1943"/>
    <cellStyle name="Total 2 10 11" xfId="1944"/>
    <cellStyle name="Total 2 10 12" xfId="1945"/>
    <cellStyle name="Total 2 10 13" xfId="1946"/>
    <cellStyle name="Total 2 10 14" xfId="1947"/>
    <cellStyle name="Total 2 10 15" xfId="1948"/>
    <cellStyle name="Total 2 10 16" xfId="1949"/>
    <cellStyle name="Total 2 10 17" xfId="1950"/>
    <cellStyle name="Total 2 10 18" xfId="1951"/>
    <cellStyle name="Total 2 10 19" xfId="1952"/>
    <cellStyle name="Total 2 10 2" xfId="1953"/>
    <cellStyle name="Total 2 10 20" xfId="1954"/>
    <cellStyle name="Total 2 10 21" xfId="1955"/>
    <cellStyle name="Total 2 10 22" xfId="1956"/>
    <cellStyle name="Total 2 10 23" xfId="1957"/>
    <cellStyle name="Total 2 10 3" xfId="1958"/>
    <cellStyle name="Total 2 10 4" xfId="1959"/>
    <cellStyle name="Total 2 10 5" xfId="1960"/>
    <cellStyle name="Total 2 10 6" xfId="1961"/>
    <cellStyle name="Total 2 10 7" xfId="1962"/>
    <cellStyle name="Total 2 10 8" xfId="1963"/>
    <cellStyle name="Total 2 10 9" xfId="1964"/>
    <cellStyle name="Total 2 11" xfId="1965"/>
    <cellStyle name="Total 2 11 10" xfId="1966"/>
    <cellStyle name="Total 2 11 11" xfId="1967"/>
    <cellStyle name="Total 2 11 12" xfId="1968"/>
    <cellStyle name="Total 2 11 13" xfId="1969"/>
    <cellStyle name="Total 2 11 14" xfId="1970"/>
    <cellStyle name="Total 2 11 15" xfId="1971"/>
    <cellStyle name="Total 2 11 16" xfId="1972"/>
    <cellStyle name="Total 2 11 17" xfId="1973"/>
    <cellStyle name="Total 2 11 18" xfId="1974"/>
    <cellStyle name="Total 2 11 19" xfId="1975"/>
    <cellStyle name="Total 2 11 2" xfId="1976"/>
    <cellStyle name="Total 2 11 20" xfId="1977"/>
    <cellStyle name="Total 2 11 21" xfId="1978"/>
    <cellStyle name="Total 2 11 22" xfId="1979"/>
    <cellStyle name="Total 2 11 23" xfId="1980"/>
    <cellStyle name="Total 2 11 3" xfId="1981"/>
    <cellStyle name="Total 2 11 4" xfId="1982"/>
    <cellStyle name="Total 2 11 5" xfId="1983"/>
    <cellStyle name="Total 2 11 6" xfId="1984"/>
    <cellStyle name="Total 2 11 7" xfId="1985"/>
    <cellStyle name="Total 2 11 8" xfId="1986"/>
    <cellStyle name="Total 2 11 9" xfId="1987"/>
    <cellStyle name="Total 2 12" xfId="1988"/>
    <cellStyle name="Total 2 12 10" xfId="1989"/>
    <cellStyle name="Total 2 12 11" xfId="1990"/>
    <cellStyle name="Total 2 12 12" xfId="1991"/>
    <cellStyle name="Total 2 12 13" xfId="1992"/>
    <cellStyle name="Total 2 12 14" xfId="1993"/>
    <cellStyle name="Total 2 12 15" xfId="1994"/>
    <cellStyle name="Total 2 12 16" xfId="1995"/>
    <cellStyle name="Total 2 12 17" xfId="1996"/>
    <cellStyle name="Total 2 12 18" xfId="1997"/>
    <cellStyle name="Total 2 12 19" xfId="1998"/>
    <cellStyle name="Total 2 12 2" xfId="1999"/>
    <cellStyle name="Total 2 12 20" xfId="2000"/>
    <cellStyle name="Total 2 12 21" xfId="2001"/>
    <cellStyle name="Total 2 12 22" xfId="2002"/>
    <cellStyle name="Total 2 12 23" xfId="2003"/>
    <cellStyle name="Total 2 12 3" xfId="2004"/>
    <cellStyle name="Total 2 12 4" xfId="2005"/>
    <cellStyle name="Total 2 12 5" xfId="2006"/>
    <cellStyle name="Total 2 12 6" xfId="2007"/>
    <cellStyle name="Total 2 12 7" xfId="2008"/>
    <cellStyle name="Total 2 12 8" xfId="2009"/>
    <cellStyle name="Total 2 12 9" xfId="2010"/>
    <cellStyle name="Total 2 13" xfId="2011"/>
    <cellStyle name="Total 2 13 10" xfId="2012"/>
    <cellStyle name="Total 2 13 11" xfId="2013"/>
    <cellStyle name="Total 2 13 12" xfId="2014"/>
    <cellStyle name="Total 2 13 13" xfId="2015"/>
    <cellStyle name="Total 2 13 14" xfId="2016"/>
    <cellStyle name="Total 2 13 15" xfId="2017"/>
    <cellStyle name="Total 2 13 16" xfId="2018"/>
    <cellStyle name="Total 2 13 17" xfId="2019"/>
    <cellStyle name="Total 2 13 18" xfId="2020"/>
    <cellStyle name="Total 2 13 19" xfId="2021"/>
    <cellStyle name="Total 2 13 2" xfId="2022"/>
    <cellStyle name="Total 2 13 20" xfId="2023"/>
    <cellStyle name="Total 2 13 21" xfId="2024"/>
    <cellStyle name="Total 2 13 22" xfId="2025"/>
    <cellStyle name="Total 2 13 23" xfId="2026"/>
    <cellStyle name="Total 2 13 3" xfId="2027"/>
    <cellStyle name="Total 2 13 4" xfId="2028"/>
    <cellStyle name="Total 2 13 5" xfId="2029"/>
    <cellStyle name="Total 2 13 6" xfId="2030"/>
    <cellStyle name="Total 2 13 7" xfId="2031"/>
    <cellStyle name="Total 2 13 8" xfId="2032"/>
    <cellStyle name="Total 2 13 9" xfId="2033"/>
    <cellStyle name="Total 2 14" xfId="2034"/>
    <cellStyle name="Total 2 14 10" xfId="2035"/>
    <cellStyle name="Total 2 14 11" xfId="2036"/>
    <cellStyle name="Total 2 14 12" xfId="2037"/>
    <cellStyle name="Total 2 14 13" xfId="2038"/>
    <cellStyle name="Total 2 14 14" xfId="2039"/>
    <cellStyle name="Total 2 14 15" xfId="2040"/>
    <cellStyle name="Total 2 14 16" xfId="2041"/>
    <cellStyle name="Total 2 14 17" xfId="2042"/>
    <cellStyle name="Total 2 14 18" xfId="2043"/>
    <cellStyle name="Total 2 14 19" xfId="2044"/>
    <cellStyle name="Total 2 14 2" xfId="2045"/>
    <cellStyle name="Total 2 14 20" xfId="2046"/>
    <cellStyle name="Total 2 14 21" xfId="2047"/>
    <cellStyle name="Total 2 14 22" xfId="2048"/>
    <cellStyle name="Total 2 14 23" xfId="2049"/>
    <cellStyle name="Total 2 14 3" xfId="2050"/>
    <cellStyle name="Total 2 14 4" xfId="2051"/>
    <cellStyle name="Total 2 14 5" xfId="2052"/>
    <cellStyle name="Total 2 14 6" xfId="2053"/>
    <cellStyle name="Total 2 14 7" xfId="2054"/>
    <cellStyle name="Total 2 14 8" xfId="2055"/>
    <cellStyle name="Total 2 14 9" xfId="2056"/>
    <cellStyle name="Total 2 15" xfId="2057"/>
    <cellStyle name="Total 2 16" xfId="2058"/>
    <cellStyle name="Total 2 17" xfId="2059"/>
    <cellStyle name="Total 2 18" xfId="2060"/>
    <cellStyle name="Total 2 19" xfId="2061"/>
    <cellStyle name="Total 2 2" xfId="2062"/>
    <cellStyle name="Total 2 2 10" xfId="2063"/>
    <cellStyle name="Total 2 2 11" xfId="2064"/>
    <cellStyle name="Total 2 2 12" xfId="2065"/>
    <cellStyle name="Total 2 2 13" xfId="2066"/>
    <cellStyle name="Total 2 2 14" xfId="2067"/>
    <cellStyle name="Total 2 2 15" xfId="2068"/>
    <cellStyle name="Total 2 2 16" xfId="2069"/>
    <cellStyle name="Total 2 2 17" xfId="2070"/>
    <cellStyle name="Total 2 2 18" xfId="2071"/>
    <cellStyle name="Total 2 2 19" xfId="2072"/>
    <cellStyle name="Total 2 2 2" xfId="2073"/>
    <cellStyle name="Total 2 2 20" xfId="2074"/>
    <cellStyle name="Total 2 2 21" xfId="2075"/>
    <cellStyle name="Total 2 2 22" xfId="2076"/>
    <cellStyle name="Total 2 2 23" xfId="2077"/>
    <cellStyle name="Total 2 2 3" xfId="2078"/>
    <cellStyle name="Total 2 2 4" xfId="2079"/>
    <cellStyle name="Total 2 2 5" xfId="2080"/>
    <cellStyle name="Total 2 2 6" xfId="2081"/>
    <cellStyle name="Total 2 2 7" xfId="2082"/>
    <cellStyle name="Total 2 2 8" xfId="2083"/>
    <cellStyle name="Total 2 2 9" xfId="2084"/>
    <cellStyle name="Total 2 20" xfId="2085"/>
    <cellStyle name="Total 2 21" xfId="2086"/>
    <cellStyle name="Total 2 22" xfId="2087"/>
    <cellStyle name="Total 2 23" xfId="2088"/>
    <cellStyle name="Total 2 24" xfId="2089"/>
    <cellStyle name="Total 2 25" xfId="2090"/>
    <cellStyle name="Total 2 26" xfId="2091"/>
    <cellStyle name="Total 2 27" xfId="2092"/>
    <cellStyle name="Total 2 28" xfId="2093"/>
    <cellStyle name="Total 2 29" xfId="2094"/>
    <cellStyle name="Total 2 3" xfId="2095"/>
    <cellStyle name="Total 2 3 10" xfId="2096"/>
    <cellStyle name="Total 2 3 11" xfId="2097"/>
    <cellStyle name="Total 2 3 12" xfId="2098"/>
    <cellStyle name="Total 2 3 13" xfId="2099"/>
    <cellStyle name="Total 2 3 14" xfId="2100"/>
    <cellStyle name="Total 2 3 15" xfId="2101"/>
    <cellStyle name="Total 2 3 16" xfId="2102"/>
    <cellStyle name="Total 2 3 17" xfId="2103"/>
    <cellStyle name="Total 2 3 18" xfId="2104"/>
    <cellStyle name="Total 2 3 19" xfId="2105"/>
    <cellStyle name="Total 2 3 2" xfId="2106"/>
    <cellStyle name="Total 2 3 20" xfId="2107"/>
    <cellStyle name="Total 2 3 21" xfId="2108"/>
    <cellStyle name="Total 2 3 22" xfId="2109"/>
    <cellStyle name="Total 2 3 23" xfId="2110"/>
    <cellStyle name="Total 2 3 3" xfId="2111"/>
    <cellStyle name="Total 2 3 4" xfId="2112"/>
    <cellStyle name="Total 2 3 5" xfId="2113"/>
    <cellStyle name="Total 2 3 6" xfId="2114"/>
    <cellStyle name="Total 2 3 7" xfId="2115"/>
    <cellStyle name="Total 2 3 8" xfId="2116"/>
    <cellStyle name="Total 2 3 9" xfId="2117"/>
    <cellStyle name="Total 2 30" xfId="2118"/>
    <cellStyle name="Total 2 31" xfId="2119"/>
    <cellStyle name="Total 2 32" xfId="2120"/>
    <cellStyle name="Total 2 33" xfId="2121"/>
    <cellStyle name="Total 2 34" xfId="2122"/>
    <cellStyle name="Total 2 35" xfId="2123"/>
    <cellStyle name="Total 2 36" xfId="2124"/>
    <cellStyle name="Total 2 4" xfId="2125"/>
    <cellStyle name="Total 2 4 10" xfId="2126"/>
    <cellStyle name="Total 2 4 11" xfId="2127"/>
    <cellStyle name="Total 2 4 12" xfId="2128"/>
    <cellStyle name="Total 2 4 13" xfId="2129"/>
    <cellStyle name="Total 2 4 14" xfId="2130"/>
    <cellStyle name="Total 2 4 15" xfId="2131"/>
    <cellStyle name="Total 2 4 16" xfId="2132"/>
    <cellStyle name="Total 2 4 17" xfId="2133"/>
    <cellStyle name="Total 2 4 18" xfId="2134"/>
    <cellStyle name="Total 2 4 19" xfId="2135"/>
    <cellStyle name="Total 2 4 2" xfId="2136"/>
    <cellStyle name="Total 2 4 20" xfId="2137"/>
    <cellStyle name="Total 2 4 21" xfId="2138"/>
    <cellStyle name="Total 2 4 22" xfId="2139"/>
    <cellStyle name="Total 2 4 23" xfId="2140"/>
    <cellStyle name="Total 2 4 3" xfId="2141"/>
    <cellStyle name="Total 2 4 4" xfId="2142"/>
    <cellStyle name="Total 2 4 5" xfId="2143"/>
    <cellStyle name="Total 2 4 6" xfId="2144"/>
    <cellStyle name="Total 2 4 7" xfId="2145"/>
    <cellStyle name="Total 2 4 8" xfId="2146"/>
    <cellStyle name="Total 2 4 9" xfId="2147"/>
    <cellStyle name="Total 2 5" xfId="2148"/>
    <cellStyle name="Total 2 5 10" xfId="2149"/>
    <cellStyle name="Total 2 5 11" xfId="2150"/>
    <cellStyle name="Total 2 5 12" xfId="2151"/>
    <cellStyle name="Total 2 5 13" xfId="2152"/>
    <cellStyle name="Total 2 5 14" xfId="2153"/>
    <cellStyle name="Total 2 5 15" xfId="2154"/>
    <cellStyle name="Total 2 5 16" xfId="2155"/>
    <cellStyle name="Total 2 5 17" xfId="2156"/>
    <cellStyle name="Total 2 5 18" xfId="2157"/>
    <cellStyle name="Total 2 5 19" xfId="2158"/>
    <cellStyle name="Total 2 5 2" xfId="2159"/>
    <cellStyle name="Total 2 5 20" xfId="2160"/>
    <cellStyle name="Total 2 5 21" xfId="2161"/>
    <cellStyle name="Total 2 5 22" xfId="2162"/>
    <cellStyle name="Total 2 5 23" xfId="2163"/>
    <cellStyle name="Total 2 5 3" xfId="2164"/>
    <cellStyle name="Total 2 5 4" xfId="2165"/>
    <cellStyle name="Total 2 5 5" xfId="2166"/>
    <cellStyle name="Total 2 5 6" xfId="2167"/>
    <cellStyle name="Total 2 5 7" xfId="2168"/>
    <cellStyle name="Total 2 5 8" xfId="2169"/>
    <cellStyle name="Total 2 5 9" xfId="2170"/>
    <cellStyle name="Total 2 6" xfId="2171"/>
    <cellStyle name="Total 2 6 10" xfId="2172"/>
    <cellStyle name="Total 2 6 11" xfId="2173"/>
    <cellStyle name="Total 2 6 12" xfId="2174"/>
    <cellStyle name="Total 2 6 13" xfId="2175"/>
    <cellStyle name="Total 2 6 14" xfId="2176"/>
    <cellStyle name="Total 2 6 15" xfId="2177"/>
    <cellStyle name="Total 2 6 16" xfId="2178"/>
    <cellStyle name="Total 2 6 17" xfId="2179"/>
    <cellStyle name="Total 2 6 18" xfId="2180"/>
    <cellStyle name="Total 2 6 19" xfId="2181"/>
    <cellStyle name="Total 2 6 2" xfId="2182"/>
    <cellStyle name="Total 2 6 20" xfId="2183"/>
    <cellStyle name="Total 2 6 21" xfId="2184"/>
    <cellStyle name="Total 2 6 22" xfId="2185"/>
    <cellStyle name="Total 2 6 23" xfId="2186"/>
    <cellStyle name="Total 2 6 3" xfId="2187"/>
    <cellStyle name="Total 2 6 4" xfId="2188"/>
    <cellStyle name="Total 2 6 5" xfId="2189"/>
    <cellStyle name="Total 2 6 6" xfId="2190"/>
    <cellStyle name="Total 2 6 7" xfId="2191"/>
    <cellStyle name="Total 2 6 8" xfId="2192"/>
    <cellStyle name="Total 2 6 9" xfId="2193"/>
    <cellStyle name="Total 2 7" xfId="2194"/>
    <cellStyle name="Total 2 7 10" xfId="2195"/>
    <cellStyle name="Total 2 7 11" xfId="2196"/>
    <cellStyle name="Total 2 7 12" xfId="2197"/>
    <cellStyle name="Total 2 7 13" xfId="2198"/>
    <cellStyle name="Total 2 7 14" xfId="2199"/>
    <cellStyle name="Total 2 7 15" xfId="2200"/>
    <cellStyle name="Total 2 7 16" xfId="2201"/>
    <cellStyle name="Total 2 7 17" xfId="2202"/>
    <cellStyle name="Total 2 7 18" xfId="2203"/>
    <cellStyle name="Total 2 7 19" xfId="2204"/>
    <cellStyle name="Total 2 7 2" xfId="2205"/>
    <cellStyle name="Total 2 7 20" xfId="2206"/>
    <cellStyle name="Total 2 7 21" xfId="2207"/>
    <cellStyle name="Total 2 7 22" xfId="2208"/>
    <cellStyle name="Total 2 7 23" xfId="2209"/>
    <cellStyle name="Total 2 7 3" xfId="2210"/>
    <cellStyle name="Total 2 7 4" xfId="2211"/>
    <cellStyle name="Total 2 7 5" xfId="2212"/>
    <cellStyle name="Total 2 7 6" xfId="2213"/>
    <cellStyle name="Total 2 7 7" xfId="2214"/>
    <cellStyle name="Total 2 7 8" xfId="2215"/>
    <cellStyle name="Total 2 7 9" xfId="2216"/>
    <cellStyle name="Total 2 8" xfId="2217"/>
    <cellStyle name="Total 2 8 10" xfId="2218"/>
    <cellStyle name="Total 2 8 11" xfId="2219"/>
    <cellStyle name="Total 2 8 12" xfId="2220"/>
    <cellStyle name="Total 2 8 13" xfId="2221"/>
    <cellStyle name="Total 2 8 14" xfId="2222"/>
    <cellStyle name="Total 2 8 15" xfId="2223"/>
    <cellStyle name="Total 2 8 16" xfId="2224"/>
    <cellStyle name="Total 2 8 17" xfId="2225"/>
    <cellStyle name="Total 2 8 18" xfId="2226"/>
    <cellStyle name="Total 2 8 19" xfId="2227"/>
    <cellStyle name="Total 2 8 2" xfId="2228"/>
    <cellStyle name="Total 2 8 20" xfId="2229"/>
    <cellStyle name="Total 2 8 21" xfId="2230"/>
    <cellStyle name="Total 2 8 22" xfId="2231"/>
    <cellStyle name="Total 2 8 23" xfId="2232"/>
    <cellStyle name="Total 2 8 3" xfId="2233"/>
    <cellStyle name="Total 2 8 4" xfId="2234"/>
    <cellStyle name="Total 2 8 5" xfId="2235"/>
    <cellStyle name="Total 2 8 6" xfId="2236"/>
    <cellStyle name="Total 2 8 7" xfId="2237"/>
    <cellStyle name="Total 2 8 8" xfId="2238"/>
    <cellStyle name="Total 2 8 9" xfId="2239"/>
    <cellStyle name="Total 2 9" xfId="2240"/>
    <cellStyle name="Total 2 9 10" xfId="2241"/>
    <cellStyle name="Total 2 9 11" xfId="2242"/>
    <cellStyle name="Total 2 9 12" xfId="2243"/>
    <cellStyle name="Total 2 9 13" xfId="2244"/>
    <cellStyle name="Total 2 9 14" xfId="2245"/>
    <cellStyle name="Total 2 9 15" xfId="2246"/>
    <cellStyle name="Total 2 9 16" xfId="2247"/>
    <cellStyle name="Total 2 9 17" xfId="2248"/>
    <cellStyle name="Total 2 9 18" xfId="2249"/>
    <cellStyle name="Total 2 9 19" xfId="2250"/>
    <cellStyle name="Total 2 9 2" xfId="2251"/>
    <cellStyle name="Total 2 9 20" xfId="2252"/>
    <cellStyle name="Total 2 9 21" xfId="2253"/>
    <cellStyle name="Total 2 9 22" xfId="2254"/>
    <cellStyle name="Total 2 9 23" xfId="2255"/>
    <cellStyle name="Total 2 9 3" xfId="2256"/>
    <cellStyle name="Total 2 9 4" xfId="2257"/>
    <cellStyle name="Total 2 9 5" xfId="2258"/>
    <cellStyle name="Total 2 9 6" xfId="2259"/>
    <cellStyle name="Total 2 9 7" xfId="2260"/>
    <cellStyle name="Total 2 9 8" xfId="2261"/>
    <cellStyle name="Total 2 9 9" xfId="2262"/>
    <cellStyle name="Tytuł" xfId="2263"/>
    <cellStyle name="UploadThisRowValue" xfId="2264"/>
    <cellStyle name="Uwaga" xfId="2265"/>
    <cellStyle name="Uwaga 10" xfId="2266"/>
    <cellStyle name="Uwaga 11" xfId="2267"/>
    <cellStyle name="Uwaga 12" xfId="2268"/>
    <cellStyle name="Uwaga 13" xfId="2269"/>
    <cellStyle name="Uwaga 14" xfId="2270"/>
    <cellStyle name="Uwaga 15" xfId="2271"/>
    <cellStyle name="Uwaga 16" xfId="2272"/>
    <cellStyle name="Uwaga 17" xfId="2273"/>
    <cellStyle name="Uwaga 18" xfId="2274"/>
    <cellStyle name="Uwaga 19" xfId="2275"/>
    <cellStyle name="Uwaga 2" xfId="2276"/>
    <cellStyle name="Uwaga 2 10" xfId="2277"/>
    <cellStyle name="Uwaga 2 11" xfId="2278"/>
    <cellStyle name="Uwaga 2 12" xfId="2279"/>
    <cellStyle name="Uwaga 2 13" xfId="2280"/>
    <cellStyle name="Uwaga 2 14" xfId="2281"/>
    <cellStyle name="Uwaga 2 15" xfId="2282"/>
    <cellStyle name="Uwaga 2 16" xfId="2283"/>
    <cellStyle name="Uwaga 2 17" xfId="2284"/>
    <cellStyle name="Uwaga 2 18" xfId="2285"/>
    <cellStyle name="Uwaga 2 19" xfId="2286"/>
    <cellStyle name="Uwaga 2 2" xfId="2287"/>
    <cellStyle name="Uwaga 2 20" xfId="2288"/>
    <cellStyle name="Uwaga 2 21" xfId="2289"/>
    <cellStyle name="Uwaga 2 22" xfId="2290"/>
    <cellStyle name="Uwaga 2 23" xfId="2291"/>
    <cellStyle name="Uwaga 2 3" xfId="2292"/>
    <cellStyle name="Uwaga 2 4" xfId="2293"/>
    <cellStyle name="Uwaga 2 5" xfId="2294"/>
    <cellStyle name="Uwaga 2 6" xfId="2295"/>
    <cellStyle name="Uwaga 2 7" xfId="2296"/>
    <cellStyle name="Uwaga 2 8" xfId="2297"/>
    <cellStyle name="Uwaga 2 9" xfId="2298"/>
    <cellStyle name="Uwaga 20" xfId="2299"/>
    <cellStyle name="Uwaga 21" xfId="2300"/>
    <cellStyle name="Uwaga 22" xfId="2301"/>
    <cellStyle name="Uwaga 23" xfId="2302"/>
    <cellStyle name="Uwaga 24" xfId="2303"/>
    <cellStyle name="Uwaga 25" xfId="2304"/>
    <cellStyle name="Uwaga 3" xfId="2305"/>
    <cellStyle name="Uwaga 3 10" xfId="2306"/>
    <cellStyle name="Uwaga 3 11" xfId="2307"/>
    <cellStyle name="Uwaga 3 12" xfId="2308"/>
    <cellStyle name="Uwaga 3 13" xfId="2309"/>
    <cellStyle name="Uwaga 3 14" xfId="2310"/>
    <cellStyle name="Uwaga 3 15" xfId="2311"/>
    <cellStyle name="Uwaga 3 16" xfId="2312"/>
    <cellStyle name="Uwaga 3 17" xfId="2313"/>
    <cellStyle name="Uwaga 3 18" xfId="2314"/>
    <cellStyle name="Uwaga 3 19" xfId="2315"/>
    <cellStyle name="Uwaga 3 2" xfId="2316"/>
    <cellStyle name="Uwaga 3 20" xfId="2317"/>
    <cellStyle name="Uwaga 3 21" xfId="2318"/>
    <cellStyle name="Uwaga 3 22" xfId="2319"/>
    <cellStyle name="Uwaga 3 23" xfId="2320"/>
    <cellStyle name="Uwaga 3 3" xfId="2321"/>
    <cellStyle name="Uwaga 3 4" xfId="2322"/>
    <cellStyle name="Uwaga 3 5" xfId="2323"/>
    <cellStyle name="Uwaga 3 6" xfId="2324"/>
    <cellStyle name="Uwaga 3 7" xfId="2325"/>
    <cellStyle name="Uwaga 3 8" xfId="2326"/>
    <cellStyle name="Uwaga 3 9" xfId="2327"/>
    <cellStyle name="Uwaga 4" xfId="2328"/>
    <cellStyle name="Uwaga 5" xfId="2329"/>
    <cellStyle name="Uwaga 6" xfId="2330"/>
    <cellStyle name="Uwaga 7" xfId="2331"/>
    <cellStyle name="Uwaga 8" xfId="2332"/>
    <cellStyle name="Uwaga 9" xfId="2333"/>
    <cellStyle name="Warning Text 2" xfId="2334"/>
    <cellStyle name="Złe" xfId="2335"/>
  </cellStyles>
  <dxfs count="102">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rgb="FFFFC000"/>
        </patternFill>
      </fill>
    </dxf>
    <dxf>
      <fill>
        <patternFill>
          <bgColor theme="4" tint="0.59996337778862885"/>
        </patternFill>
      </fill>
    </dxf>
    <dxf>
      <fill>
        <patternFill>
          <bgColor theme="6" tint="0.59996337778862885"/>
        </patternFill>
      </fill>
    </dxf>
    <dxf>
      <font>
        <b/>
        <i val="0"/>
        <color theme="0"/>
      </font>
      <fill>
        <patternFill>
          <bgColor rgb="FFC00000"/>
        </patternFill>
      </fill>
    </dxf>
  </dxfs>
  <tableStyles count="0" defaultTableStyle="TableStyleMedium9" defaultPivotStyle="PivotStyleLight16"/>
  <colors>
    <mruColors>
      <color rgb="FF333F4F"/>
      <color rgb="FFFFFF99"/>
      <color rgb="FF0000FF"/>
      <color rgb="FF005DA2"/>
      <color rgb="FF006600"/>
      <color rgb="FFABE9FF"/>
      <color rgb="FF81DEFF"/>
      <color rgb="FFCCCCFF"/>
      <color rgb="FF00FF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75779" name="Button 3" hidden="1">
          <a:extLst>
            <a:ext uri="{63B3BB69-23CF-44E3-9099-C40C66FF867C}">
              <a14:compatExt xmlns:a14="http://schemas.microsoft.com/office/drawing/2010/main" spid="_x0000_s7577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3</a:t>
          </a:r>
        </a:p>
      </xdr:txBody>
    </xdr:sp>
    <xdr:clientData fPrintsWithSheet="0"/>
  </xdr:twoCellAnchor>
  <xdr:twoCellAnchor>
    <xdr:from>
      <xdr:col>3</xdr:col>
      <xdr:colOff>114300</xdr:colOff>
      <xdr:row>1</xdr:row>
      <xdr:rowOff>0</xdr:rowOff>
    </xdr:from>
    <xdr:to>
      <xdr:col>3</xdr:col>
      <xdr:colOff>247650</xdr:colOff>
      <xdr:row>1</xdr:row>
      <xdr:rowOff>0</xdr:rowOff>
    </xdr:to>
    <xdr:sp macro="" textlink="">
      <xdr:nvSpPr>
        <xdr:cNvPr id="75780" name="Button 4" hidden="1">
          <a:extLst>
            <a:ext uri="{63B3BB69-23CF-44E3-9099-C40C66FF867C}">
              <a14:compatExt xmlns:a14="http://schemas.microsoft.com/office/drawing/2010/main" spid="_x0000_s7578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4</a:t>
          </a:r>
        </a:p>
      </xdr:txBody>
    </xdr:sp>
    <xdr:clientData fPrintsWithSheet="0"/>
  </xdr:twoCellAnchor>
  <xdr:twoCellAnchor>
    <xdr:from>
      <xdr:col>4</xdr:col>
      <xdr:colOff>114300</xdr:colOff>
      <xdr:row>1</xdr:row>
      <xdr:rowOff>0</xdr:rowOff>
    </xdr:from>
    <xdr:to>
      <xdr:col>5</xdr:col>
      <xdr:colOff>0</xdr:colOff>
      <xdr:row>1</xdr:row>
      <xdr:rowOff>0</xdr:rowOff>
    </xdr:to>
    <xdr:sp macro="" textlink="">
      <xdr:nvSpPr>
        <xdr:cNvPr id="75781" name="Button 5" hidden="1">
          <a:extLst>
            <a:ext uri="{63B3BB69-23CF-44E3-9099-C40C66FF867C}">
              <a14:compatExt xmlns:a14="http://schemas.microsoft.com/office/drawing/2010/main" spid="_x0000_s7578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5</a:t>
          </a:r>
        </a:p>
      </xdr:txBody>
    </xdr:sp>
    <xdr:clientData fPrintsWithSheet="0"/>
  </xdr:twoCellAnchor>
  <xdr:twoCellAnchor>
    <xdr:from>
      <xdr:col>3</xdr:col>
      <xdr:colOff>0</xdr:colOff>
      <xdr:row>1</xdr:row>
      <xdr:rowOff>0</xdr:rowOff>
    </xdr:from>
    <xdr:to>
      <xdr:col>3</xdr:col>
      <xdr:colOff>0</xdr:colOff>
      <xdr:row>1</xdr:row>
      <xdr:rowOff>0</xdr:rowOff>
    </xdr:to>
    <xdr:sp macro="" textlink="">
      <xdr:nvSpPr>
        <xdr:cNvPr id="75782" name="Button 6" hidden="1">
          <a:extLst>
            <a:ext uri="{63B3BB69-23CF-44E3-9099-C40C66FF867C}">
              <a14:compatExt xmlns:a14="http://schemas.microsoft.com/office/drawing/2010/main" spid="_x0000_s757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6</a:t>
          </a:r>
        </a:p>
      </xdr:txBody>
    </xdr:sp>
    <xdr:clientData fPrintsWithSheet="0"/>
  </xdr:twoCellAnchor>
  <xdr:twoCellAnchor>
    <xdr:from>
      <xdr:col>6</xdr:col>
      <xdr:colOff>85725</xdr:colOff>
      <xdr:row>1</xdr:row>
      <xdr:rowOff>0</xdr:rowOff>
    </xdr:from>
    <xdr:to>
      <xdr:col>12</xdr:col>
      <xdr:colOff>876300</xdr:colOff>
      <xdr:row>1</xdr:row>
      <xdr:rowOff>0</xdr:rowOff>
    </xdr:to>
    <xdr:sp macro="" textlink="">
      <xdr:nvSpPr>
        <xdr:cNvPr id="75785" name="Button 9" hidden="1">
          <a:extLst>
            <a:ext uri="{63B3BB69-23CF-44E3-9099-C40C66FF867C}">
              <a14:compatExt xmlns:a14="http://schemas.microsoft.com/office/drawing/2010/main" spid="_x0000_s7578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Button 9</a:t>
          </a:r>
        </a:p>
      </xdr:txBody>
    </xdr:sp>
    <xdr:clientData fPrintsWithSheet="0"/>
  </xdr:twoCellAnchor>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2" name="Button 3" hidden="1">
              <a:extLst>
                <a:ext uri="{63B3BB69-23CF-44E3-9099-C40C66FF867C}">
                  <a14:compatExt spid="_x0000_s757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3" name="Button 4" hidden="1">
              <a:extLst>
                <a:ext uri="{63B3BB69-23CF-44E3-9099-C40C66FF867C}">
                  <a14:compatExt spid="_x0000_s757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4" name="Button 5" hidden="1">
              <a:extLst>
                <a:ext uri="{63B3BB69-23CF-44E3-9099-C40C66FF867C}">
                  <a14:compatExt spid="_x0000_s7578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5" name="Button 6" hidden="1">
              <a:extLst>
                <a:ext uri="{63B3BB69-23CF-44E3-9099-C40C66FF867C}">
                  <a14:compatExt spid="_x0000_s7578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6" name="Button 9" hidden="1">
              <a:extLst>
                <a:ext uri="{63B3BB69-23CF-44E3-9099-C40C66FF867C}">
                  <a14:compatExt spid="_x0000_s757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50" name="Button 74" hidden="1">
              <a:extLst>
                <a:ext uri="{63B3BB69-23CF-44E3-9099-C40C66FF867C}">
                  <a14:compatExt spid="_x0000_s758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0</xdr:rowOff>
        </xdr:from>
        <xdr:to>
          <xdr:col>3</xdr:col>
          <xdr:colOff>247650</xdr:colOff>
          <xdr:row>1</xdr:row>
          <xdr:rowOff>0</xdr:rowOff>
        </xdr:to>
        <xdr:sp macro="" textlink="">
          <xdr:nvSpPr>
            <xdr:cNvPr id="75849" name="Button 73" hidden="1">
              <a:extLst>
                <a:ext uri="{63B3BB69-23CF-44E3-9099-C40C66FF867C}">
                  <a14:compatExt spid="_x0000_s758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114300</xdr:colOff>
          <xdr:row>1</xdr:row>
          <xdr:rowOff>0</xdr:rowOff>
        </xdr:from>
        <xdr:to>
          <xdr:col>5</xdr:col>
          <xdr:colOff>0</xdr:colOff>
          <xdr:row>1</xdr:row>
          <xdr:rowOff>0</xdr:rowOff>
        </xdr:to>
        <xdr:sp macro="" textlink="">
          <xdr:nvSpPr>
            <xdr:cNvPr id="75848" name="Button 72" hidden="1">
              <a:extLst>
                <a:ext uri="{63B3BB69-23CF-44E3-9099-C40C66FF867C}">
                  <a14:compatExt spid="_x0000_s7584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1</xdr:row>
          <xdr:rowOff>0</xdr:rowOff>
        </xdr:from>
        <xdr:to>
          <xdr:col>3</xdr:col>
          <xdr:colOff>0</xdr:colOff>
          <xdr:row>1</xdr:row>
          <xdr:rowOff>0</xdr:rowOff>
        </xdr:to>
        <xdr:sp macro="" textlink="">
          <xdr:nvSpPr>
            <xdr:cNvPr id="75847" name="Button 71" hidden="1">
              <a:extLst>
                <a:ext uri="{63B3BB69-23CF-44E3-9099-C40C66FF867C}">
                  <a14:compatExt spid="_x0000_s7584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1</xdr:row>
          <xdr:rowOff>0</xdr:rowOff>
        </xdr:from>
        <xdr:to>
          <xdr:col>13</xdr:col>
          <xdr:colOff>0</xdr:colOff>
          <xdr:row>1</xdr:row>
          <xdr:rowOff>0</xdr:rowOff>
        </xdr:to>
        <xdr:sp macro="" textlink="">
          <xdr:nvSpPr>
            <xdr:cNvPr id="75846" name="Button 70" hidden="1">
              <a:extLst>
                <a:ext uri="{63B3BB69-23CF-44E3-9099-C40C66FF867C}">
                  <a14:compatExt spid="_x0000_s758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Button 9</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kielar/Local%20Settings/Temporary%20Internet%20Files/OLK21/Accrued_Inter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view="pageBreakPreview" zoomScaleNormal="100" zoomScaleSheetLayoutView="100" workbookViewId="0">
      <selection activeCell="I34" sqref="I34"/>
    </sheetView>
  </sheetViews>
  <sheetFormatPr defaultRowHeight="1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7" tint="-0.499984740745262"/>
  </sheetPr>
  <dimension ref="B2:AQ203"/>
  <sheetViews>
    <sheetView view="pageBreakPreview" zoomScale="75" zoomScaleNormal="80" zoomScaleSheetLayoutView="75" workbookViewId="0">
      <pane xSplit="3" ySplit="16" topLeftCell="D17" activePane="bottomRight" state="frozen"/>
      <selection pane="topRight"/>
      <selection pane="bottomLeft"/>
      <selection pane="bottomRight" activeCell="AD9" sqref="AD9:AD10"/>
    </sheetView>
  </sheetViews>
  <sheetFormatPr defaultColWidth="9.140625" defaultRowHeight="15" customHeight="1"/>
  <cols>
    <col min="1" max="1" width="2.7109375" style="52" customWidth="1"/>
    <col min="2" max="2" width="47.5703125" style="52" customWidth="1"/>
    <col min="3" max="3" width="2.7109375" style="53" customWidth="1"/>
    <col min="4" max="9" width="12.7109375" style="53" customWidth="1"/>
    <col min="10" max="10" width="13.28515625" style="53" bestFit="1" customWidth="1"/>
    <col min="11" max="11" width="16.7109375" style="226" customWidth="1"/>
    <col min="12" max="12" width="1.7109375" style="53" customWidth="1"/>
    <col min="13" max="13" width="40.7109375" style="283" customWidth="1"/>
    <col min="14" max="22" width="12.7109375" style="52" customWidth="1"/>
    <col min="23" max="26" width="12.7109375" style="54" customWidth="1"/>
    <col min="27" max="27" width="13.28515625" style="54" bestFit="1" customWidth="1"/>
    <col min="28" max="28" width="16.7109375" style="54" customWidth="1"/>
    <col min="29" max="29" width="1.7109375" style="54" customWidth="1"/>
    <col min="30" max="30" width="32.7109375" style="278" customWidth="1"/>
    <col min="31" max="32" width="9.5703125" style="54" customWidth="1"/>
    <col min="33" max="42" width="9.140625" style="54" customWidth="1"/>
    <col min="43" max="43" width="9.85546875" style="54" bestFit="1" customWidth="1"/>
    <col min="44" max="45" width="9.85546875" style="52" bestFit="1" customWidth="1"/>
    <col min="46" max="47" width="11.5703125" style="52" bestFit="1" customWidth="1"/>
    <col min="48" max="16384" width="9.140625" style="52"/>
  </cols>
  <sheetData>
    <row r="2" spans="2:30" ht="15" hidden="1" customHeight="1"/>
    <row r="3" spans="2:30" s="54" customFormat="1" ht="15" hidden="1" customHeight="1">
      <c r="B3" s="52"/>
      <c r="C3" s="53"/>
      <c r="D3" s="53"/>
      <c r="E3" s="53"/>
      <c r="F3" s="53"/>
      <c r="G3" s="53"/>
      <c r="H3" s="53"/>
      <c r="I3" s="53"/>
      <c r="J3" s="53"/>
      <c r="K3" s="226"/>
      <c r="L3" s="53"/>
      <c r="M3" s="283"/>
      <c r="N3" s="52"/>
      <c r="O3" s="52"/>
      <c r="P3" s="52"/>
      <c r="Q3" s="52"/>
      <c r="R3" s="52"/>
      <c r="S3" s="52"/>
      <c r="T3" s="52"/>
      <c r="U3" s="52"/>
      <c r="V3" s="52"/>
      <c r="AD3" s="278"/>
    </row>
    <row r="4" spans="2:30" s="54" customFormat="1" ht="15" customHeight="1">
      <c r="B4" s="52"/>
      <c r="C4" s="52"/>
      <c r="D4" s="53"/>
      <c r="E4" s="53"/>
      <c r="F4" s="53"/>
      <c r="G4" s="53"/>
      <c r="H4" s="53"/>
      <c r="I4" s="53"/>
      <c r="J4" s="53"/>
      <c r="K4" s="226"/>
      <c r="L4" s="53"/>
      <c r="M4" s="283"/>
      <c r="N4" s="52"/>
      <c r="O4" s="52"/>
      <c r="P4" s="52"/>
      <c r="Q4" s="52"/>
      <c r="R4" s="52"/>
      <c r="S4" s="52"/>
      <c r="T4" s="52"/>
      <c r="U4" s="52"/>
      <c r="V4" s="52"/>
      <c r="AD4" s="278"/>
    </row>
    <row r="5" spans="2:30" s="54" customFormat="1" ht="23.25">
      <c r="B5" s="52"/>
      <c r="C5" s="224"/>
      <c r="D5" s="406" t="str">
        <f>X_SchoolName</f>
        <v>XYZ Charter School</v>
      </c>
      <c r="E5" s="406"/>
      <c r="F5" s="406"/>
      <c r="G5" s="406"/>
      <c r="H5" s="406"/>
      <c r="I5" s="406"/>
      <c r="J5" s="406"/>
      <c r="K5" s="406"/>
      <c r="L5" s="406"/>
      <c r="M5" s="406"/>
      <c r="N5" s="410" t="str">
        <f>X_SchoolName</f>
        <v>XYZ Charter School</v>
      </c>
      <c r="O5" s="410"/>
      <c r="P5" s="410"/>
      <c r="Q5" s="410"/>
      <c r="R5" s="410"/>
      <c r="S5" s="410"/>
      <c r="T5" s="410"/>
      <c r="U5" s="410"/>
      <c r="V5" s="410"/>
      <c r="W5" s="410"/>
      <c r="X5" s="410"/>
      <c r="Y5" s="410"/>
      <c r="Z5" s="410"/>
      <c r="AA5" s="410"/>
      <c r="AB5" s="410"/>
      <c r="AC5" s="410"/>
      <c r="AD5" s="410"/>
    </row>
    <row r="6" spans="2:30" s="54" customFormat="1" ht="21" customHeight="1">
      <c r="B6" s="52"/>
      <c r="C6" s="223"/>
      <c r="D6" s="223" t="s">
        <v>203</v>
      </c>
      <c r="E6" s="223"/>
      <c r="F6" s="223"/>
      <c r="G6" s="223"/>
      <c r="H6" s="223"/>
      <c r="I6" s="223"/>
      <c r="J6" s="223"/>
      <c r="K6" s="343"/>
      <c r="L6" s="223"/>
      <c r="M6" s="275"/>
      <c r="N6" s="409" t="s">
        <v>204</v>
      </c>
      <c r="O6" s="409"/>
      <c r="P6" s="409"/>
      <c r="Q6" s="409"/>
      <c r="R6" s="409"/>
      <c r="S6" s="409"/>
      <c r="T6" s="409"/>
      <c r="U6" s="409"/>
      <c r="V6" s="409"/>
      <c r="W6" s="409"/>
      <c r="X6" s="409"/>
      <c r="Y6" s="409"/>
      <c r="Z6" s="409"/>
      <c r="AA6" s="409"/>
      <c r="AB6" s="409"/>
      <c r="AC6" s="409"/>
      <c r="AD6" s="409"/>
    </row>
    <row r="7" spans="2:30" s="54" customFormat="1" ht="15" customHeight="1">
      <c r="B7" s="56"/>
      <c r="C7" s="53"/>
      <c r="D7" s="57"/>
      <c r="E7" s="58"/>
      <c r="F7" s="58"/>
      <c r="G7" s="58"/>
      <c r="H7" s="58"/>
      <c r="I7" s="58"/>
      <c r="J7" s="58"/>
      <c r="K7" s="220"/>
      <c r="L7" s="58"/>
      <c r="M7" s="283"/>
      <c r="N7" s="52"/>
      <c r="O7" s="52"/>
      <c r="P7" s="52"/>
      <c r="Q7" s="52"/>
      <c r="R7" s="52"/>
      <c r="S7" s="52"/>
      <c r="T7" s="52"/>
      <c r="U7" s="52"/>
      <c r="V7" s="52"/>
      <c r="AD7" s="278"/>
    </row>
    <row r="8" spans="2:30" s="54" customFormat="1" ht="38.25" customHeight="1">
      <c r="B8" s="346" t="s">
        <v>156</v>
      </c>
      <c r="C8" s="59"/>
      <c r="D8" s="60"/>
      <c r="E8" s="60"/>
      <c r="F8" s="60"/>
      <c r="G8" s="60"/>
      <c r="H8" s="60"/>
      <c r="I8" s="60"/>
      <c r="J8" s="61"/>
      <c r="K8" s="233" t="s">
        <v>205</v>
      </c>
      <c r="L8" s="57"/>
      <c r="M8" s="276" t="s">
        <v>157</v>
      </c>
      <c r="N8" s="53"/>
      <c r="O8" s="53"/>
      <c r="P8" s="53"/>
      <c r="Q8" s="53"/>
      <c r="R8" s="53"/>
      <c r="S8" s="53"/>
      <c r="T8" s="53"/>
      <c r="U8" s="53"/>
      <c r="V8" s="53"/>
      <c r="W8" s="62"/>
      <c r="X8" s="62"/>
      <c r="Y8" s="62"/>
      <c r="Z8" s="62"/>
      <c r="AB8" s="233" t="s">
        <v>205</v>
      </c>
      <c r="AD8" s="276" t="s">
        <v>157</v>
      </c>
    </row>
    <row r="9" spans="2:30" s="54" customFormat="1" ht="15" customHeight="1">
      <c r="B9" s="63" t="s">
        <v>24</v>
      </c>
      <c r="C9" s="64"/>
      <c r="D9" s="65">
        <f>D90</f>
        <v>0</v>
      </c>
      <c r="E9" s="65">
        <f t="shared" ref="E9:J9" si="0">E90</f>
        <v>0</v>
      </c>
      <c r="F9" s="65">
        <f t="shared" si="0"/>
        <v>0</v>
      </c>
      <c r="G9" s="65">
        <f t="shared" si="0"/>
        <v>0</v>
      </c>
      <c r="H9" s="65">
        <f t="shared" si="0"/>
        <v>0</v>
      </c>
      <c r="I9" s="65">
        <f>I90</f>
        <v>0</v>
      </c>
      <c r="J9" s="65">
        <f t="shared" si="0"/>
        <v>0</v>
      </c>
      <c r="K9" s="220">
        <f>J9-'Start-Up Budget'!D9</f>
        <v>0</v>
      </c>
      <c r="L9" s="66"/>
      <c r="M9" s="279"/>
      <c r="N9" s="228">
        <f t="shared" ref="N9:S9" si="1">N90</f>
        <v>0</v>
      </c>
      <c r="O9" s="65">
        <f t="shared" si="1"/>
        <v>0</v>
      </c>
      <c r="P9" s="65">
        <f t="shared" si="1"/>
        <v>0</v>
      </c>
      <c r="Q9" s="65">
        <f t="shared" si="1"/>
        <v>0</v>
      </c>
      <c r="R9" s="65">
        <f t="shared" si="1"/>
        <v>0</v>
      </c>
      <c r="S9" s="65">
        <f t="shared" si="1"/>
        <v>0</v>
      </c>
      <c r="T9" s="65">
        <f t="shared" ref="T9:AA9" si="2">T90</f>
        <v>0</v>
      </c>
      <c r="U9" s="65">
        <f t="shared" si="2"/>
        <v>0</v>
      </c>
      <c r="V9" s="65">
        <f t="shared" si="2"/>
        <v>0</v>
      </c>
      <c r="W9" s="65">
        <f t="shared" si="2"/>
        <v>0</v>
      </c>
      <c r="X9" s="65">
        <f t="shared" si="2"/>
        <v>0</v>
      </c>
      <c r="Y9" s="65">
        <f t="shared" si="2"/>
        <v>0</v>
      </c>
      <c r="Z9" s="65">
        <f>Z90</f>
        <v>0</v>
      </c>
      <c r="AA9" s="65">
        <f t="shared" si="2"/>
        <v>0</v>
      </c>
      <c r="AB9" s="218">
        <f>AA9-'5 YR Budget'!D9</f>
        <v>0</v>
      </c>
      <c r="AD9" s="280"/>
    </row>
    <row r="10" spans="2:30" s="54" customFormat="1" ht="15" customHeight="1">
      <c r="B10" s="63" t="s">
        <v>12</v>
      </c>
      <c r="C10" s="64"/>
      <c r="D10" s="67">
        <f>D197</f>
        <v>0</v>
      </c>
      <c r="E10" s="67">
        <f t="shared" ref="E10:J10" si="3">E197</f>
        <v>0</v>
      </c>
      <c r="F10" s="67">
        <f t="shared" si="3"/>
        <v>0</v>
      </c>
      <c r="G10" s="67">
        <f t="shared" si="3"/>
        <v>0</v>
      </c>
      <c r="H10" s="67">
        <f t="shared" si="3"/>
        <v>0</v>
      </c>
      <c r="I10" s="67">
        <f>I197</f>
        <v>0</v>
      </c>
      <c r="J10" s="67">
        <f t="shared" si="3"/>
        <v>0</v>
      </c>
      <c r="K10" s="220">
        <f>J10-'Start-Up Budget'!D10</f>
        <v>0</v>
      </c>
      <c r="L10" s="66"/>
      <c r="M10" s="279"/>
      <c r="N10" s="229">
        <f t="shared" ref="N10:S10" si="4">N197</f>
        <v>0</v>
      </c>
      <c r="O10" s="67">
        <f t="shared" si="4"/>
        <v>0</v>
      </c>
      <c r="P10" s="67">
        <f t="shared" si="4"/>
        <v>0</v>
      </c>
      <c r="Q10" s="67">
        <f t="shared" si="4"/>
        <v>0</v>
      </c>
      <c r="R10" s="67">
        <f t="shared" si="4"/>
        <v>0</v>
      </c>
      <c r="S10" s="67">
        <f t="shared" si="4"/>
        <v>0</v>
      </c>
      <c r="T10" s="67">
        <f t="shared" ref="T10:AA10" si="5">T197</f>
        <v>0</v>
      </c>
      <c r="U10" s="67">
        <f t="shared" si="5"/>
        <v>0</v>
      </c>
      <c r="V10" s="67">
        <f t="shared" si="5"/>
        <v>0</v>
      </c>
      <c r="W10" s="67">
        <f t="shared" si="5"/>
        <v>0</v>
      </c>
      <c r="X10" s="67">
        <f t="shared" si="5"/>
        <v>0</v>
      </c>
      <c r="Y10" s="67">
        <f t="shared" si="5"/>
        <v>0</v>
      </c>
      <c r="Z10" s="67">
        <f>Z197</f>
        <v>0</v>
      </c>
      <c r="AA10" s="67">
        <f t="shared" si="5"/>
        <v>0</v>
      </c>
      <c r="AB10" s="218">
        <f>AA10-'5 YR Budget'!D10</f>
        <v>0</v>
      </c>
      <c r="AD10" s="280"/>
    </row>
    <row r="11" spans="2:30" s="54" customFormat="1" ht="15" customHeight="1">
      <c r="B11" s="63" t="s">
        <v>23</v>
      </c>
      <c r="C11" s="64"/>
      <c r="D11" s="68">
        <f>D9-D10</f>
        <v>0</v>
      </c>
      <c r="E11" s="68">
        <f t="shared" ref="E11:J11" si="6">E9-E10</f>
        <v>0</v>
      </c>
      <c r="F11" s="68">
        <f t="shared" si="6"/>
        <v>0</v>
      </c>
      <c r="G11" s="68">
        <f t="shared" si="6"/>
        <v>0</v>
      </c>
      <c r="H11" s="68">
        <f t="shared" si="6"/>
        <v>0</v>
      </c>
      <c r="I11" s="68">
        <f t="shared" si="6"/>
        <v>0</v>
      </c>
      <c r="J11" s="68">
        <f t="shared" si="6"/>
        <v>0</v>
      </c>
      <c r="K11" s="220">
        <f>J11-'Start-Up Budget'!D11</f>
        <v>0</v>
      </c>
      <c r="L11" s="66"/>
      <c r="M11" s="279"/>
      <c r="N11" s="229">
        <f t="shared" ref="N11:AA11" si="7">N9-N10</f>
        <v>0</v>
      </c>
      <c r="O11" s="68">
        <f t="shared" si="7"/>
        <v>0</v>
      </c>
      <c r="P11" s="68">
        <f t="shared" si="7"/>
        <v>0</v>
      </c>
      <c r="Q11" s="68">
        <f t="shared" si="7"/>
        <v>0</v>
      </c>
      <c r="R11" s="68">
        <f t="shared" si="7"/>
        <v>0</v>
      </c>
      <c r="S11" s="68">
        <f t="shared" si="7"/>
        <v>0</v>
      </c>
      <c r="T11" s="68">
        <f t="shared" si="7"/>
        <v>0</v>
      </c>
      <c r="U11" s="68">
        <f t="shared" si="7"/>
        <v>0</v>
      </c>
      <c r="V11" s="68">
        <f t="shared" si="7"/>
        <v>0</v>
      </c>
      <c r="W11" s="68">
        <f t="shared" si="7"/>
        <v>0</v>
      </c>
      <c r="X11" s="68">
        <f t="shared" si="7"/>
        <v>0</v>
      </c>
      <c r="Y11" s="68">
        <f t="shared" si="7"/>
        <v>0</v>
      </c>
      <c r="Z11" s="68">
        <f t="shared" si="7"/>
        <v>0</v>
      </c>
      <c r="AA11" s="68">
        <f t="shared" si="7"/>
        <v>0</v>
      </c>
      <c r="AB11" s="218">
        <f>AA11-'5 YR Budget'!D11</f>
        <v>0</v>
      </c>
      <c r="AD11" s="280"/>
    </row>
    <row r="12" spans="2:30" s="54" customFormat="1" ht="15" customHeight="1">
      <c r="B12" s="63" t="s">
        <v>88</v>
      </c>
      <c r="C12" s="64"/>
      <c r="D12" s="227">
        <v>0</v>
      </c>
      <c r="E12" s="227">
        <v>0</v>
      </c>
      <c r="F12" s="227">
        <v>0</v>
      </c>
      <c r="G12" s="227">
        <v>0</v>
      </c>
      <c r="H12" s="227">
        <v>0</v>
      </c>
      <c r="I12" s="227">
        <v>0</v>
      </c>
      <c r="J12" s="68">
        <f>SUM(D12:I12)</f>
        <v>0</v>
      </c>
      <c r="K12" s="220"/>
      <c r="L12" s="66"/>
      <c r="M12" s="279"/>
      <c r="N12" s="227">
        <v>0</v>
      </c>
      <c r="O12" s="227">
        <v>0</v>
      </c>
      <c r="P12" s="227">
        <v>0</v>
      </c>
      <c r="Q12" s="227">
        <v>0</v>
      </c>
      <c r="R12" s="227">
        <v>0</v>
      </c>
      <c r="S12" s="227">
        <v>0</v>
      </c>
      <c r="T12" s="227">
        <v>0</v>
      </c>
      <c r="U12" s="227">
        <v>0</v>
      </c>
      <c r="V12" s="227">
        <v>0</v>
      </c>
      <c r="W12" s="227">
        <v>0</v>
      </c>
      <c r="X12" s="227">
        <v>0</v>
      </c>
      <c r="Y12" s="227">
        <v>0</v>
      </c>
      <c r="Z12" s="227">
        <v>0</v>
      </c>
      <c r="AA12" s="68">
        <f>SUM(N12:Z12)</f>
        <v>0</v>
      </c>
      <c r="AB12" s="218"/>
      <c r="AD12" s="280"/>
    </row>
    <row r="13" spans="2:30" s="54" customFormat="1" ht="15" customHeight="1">
      <c r="B13" s="63" t="s">
        <v>89</v>
      </c>
      <c r="C13" s="64"/>
      <c r="D13" s="227">
        <v>0</v>
      </c>
      <c r="E13" s="69">
        <f>D14</f>
        <v>0</v>
      </c>
      <c r="F13" s="69">
        <f>E14</f>
        <v>0</v>
      </c>
      <c r="G13" s="69">
        <f>F14</f>
        <v>0</v>
      </c>
      <c r="H13" s="69">
        <f>G14</f>
        <v>0</v>
      </c>
      <c r="I13" s="69">
        <f>H14</f>
        <v>0</v>
      </c>
      <c r="J13" s="69">
        <f>D13</f>
        <v>0</v>
      </c>
      <c r="K13" s="220"/>
      <c r="L13" s="66"/>
      <c r="M13" s="279"/>
      <c r="N13" s="229">
        <f>J14</f>
        <v>0</v>
      </c>
      <c r="O13" s="69">
        <f>N14</f>
        <v>0</v>
      </c>
      <c r="P13" s="69">
        <f t="shared" ref="P13:Z13" si="8">O14</f>
        <v>0</v>
      </c>
      <c r="Q13" s="69">
        <f t="shared" si="8"/>
        <v>0</v>
      </c>
      <c r="R13" s="69">
        <f t="shared" si="8"/>
        <v>0</v>
      </c>
      <c r="S13" s="69">
        <f t="shared" si="8"/>
        <v>0</v>
      </c>
      <c r="T13" s="69">
        <f t="shared" si="8"/>
        <v>0</v>
      </c>
      <c r="U13" s="69">
        <f t="shared" si="8"/>
        <v>0</v>
      </c>
      <c r="V13" s="69">
        <f t="shared" si="8"/>
        <v>0</v>
      </c>
      <c r="W13" s="69">
        <f t="shared" si="8"/>
        <v>0</v>
      </c>
      <c r="X13" s="69">
        <f t="shared" si="8"/>
        <v>0</v>
      </c>
      <c r="Y13" s="69">
        <f t="shared" si="8"/>
        <v>0</v>
      </c>
      <c r="Z13" s="69">
        <f t="shared" si="8"/>
        <v>0</v>
      </c>
      <c r="AA13" s="69">
        <f>N13</f>
        <v>0</v>
      </c>
      <c r="AB13" s="218"/>
      <c r="AD13" s="280"/>
    </row>
    <row r="14" spans="2:30" s="54" customFormat="1" ht="15" customHeight="1">
      <c r="B14" s="70" t="s">
        <v>242</v>
      </c>
      <c r="C14" s="71"/>
      <c r="D14" s="68">
        <f>SUM(D11:D13)</f>
        <v>0</v>
      </c>
      <c r="E14" s="68">
        <f t="shared" ref="E14:J14" si="9">SUM(E11:E13)</f>
        <v>0</v>
      </c>
      <c r="F14" s="68">
        <f t="shared" si="9"/>
        <v>0</v>
      </c>
      <c r="G14" s="68">
        <f t="shared" si="9"/>
        <v>0</v>
      </c>
      <c r="H14" s="68">
        <f t="shared" si="9"/>
        <v>0</v>
      </c>
      <c r="I14" s="68">
        <f t="shared" si="9"/>
        <v>0</v>
      </c>
      <c r="J14" s="68">
        <f t="shared" si="9"/>
        <v>0</v>
      </c>
      <c r="K14" s="220"/>
      <c r="L14" s="66"/>
      <c r="M14" s="279"/>
      <c r="N14" s="229">
        <f t="shared" ref="N14:AA14" si="10">SUM(N11:N13)</f>
        <v>0</v>
      </c>
      <c r="O14" s="68">
        <f t="shared" si="10"/>
        <v>0</v>
      </c>
      <c r="P14" s="68">
        <f t="shared" si="10"/>
        <v>0</v>
      </c>
      <c r="Q14" s="68">
        <f t="shared" si="10"/>
        <v>0</v>
      </c>
      <c r="R14" s="68">
        <f t="shared" si="10"/>
        <v>0</v>
      </c>
      <c r="S14" s="68">
        <f t="shared" si="10"/>
        <v>0</v>
      </c>
      <c r="T14" s="68">
        <f t="shared" si="10"/>
        <v>0</v>
      </c>
      <c r="U14" s="68">
        <f t="shared" si="10"/>
        <v>0</v>
      </c>
      <c r="V14" s="68">
        <f t="shared" si="10"/>
        <v>0</v>
      </c>
      <c r="W14" s="68">
        <f t="shared" si="10"/>
        <v>0</v>
      </c>
      <c r="X14" s="68">
        <f t="shared" si="10"/>
        <v>0</v>
      </c>
      <c r="Y14" s="68">
        <f t="shared" si="10"/>
        <v>0</v>
      </c>
      <c r="Z14" s="68">
        <f t="shared" si="10"/>
        <v>0</v>
      </c>
      <c r="AA14" s="68">
        <f t="shared" si="10"/>
        <v>0</v>
      </c>
      <c r="AB14" s="218"/>
      <c r="AD14" s="280"/>
    </row>
    <row r="15" spans="2:30" s="54" customFormat="1" ht="9.9499999999999993" customHeight="1">
      <c r="B15" s="72"/>
      <c r="C15" s="53"/>
      <c r="D15" s="53"/>
      <c r="E15" s="53"/>
      <c r="F15" s="53"/>
      <c r="G15" s="53"/>
      <c r="H15" s="53"/>
      <c r="I15" s="53"/>
      <c r="J15" s="53"/>
      <c r="K15" s="226"/>
      <c r="L15" s="53"/>
      <c r="M15" s="280"/>
      <c r="N15" s="53"/>
      <c r="O15" s="53"/>
      <c r="P15" s="53"/>
      <c r="Q15" s="53"/>
      <c r="R15" s="53"/>
      <c r="S15" s="53"/>
      <c r="T15" s="53"/>
      <c r="U15" s="53"/>
      <c r="V15" s="53"/>
      <c r="W15" s="53"/>
      <c r="X15" s="53"/>
      <c r="Y15" s="53"/>
      <c r="Z15" s="53"/>
      <c r="AA15" s="53"/>
      <c r="AB15" s="53"/>
      <c r="AD15" s="280"/>
    </row>
    <row r="16" spans="2:30" s="277" customFormat="1" ht="45">
      <c r="B16" s="296"/>
      <c r="C16" s="284"/>
      <c r="D16" s="297" t="s">
        <v>92</v>
      </c>
      <c r="E16" s="297" t="s">
        <v>93</v>
      </c>
      <c r="F16" s="297" t="s">
        <v>94</v>
      </c>
      <c r="G16" s="297" t="s">
        <v>95</v>
      </c>
      <c r="H16" s="297" t="s">
        <v>96</v>
      </c>
      <c r="I16" s="297" t="s">
        <v>97</v>
      </c>
      <c r="J16" s="297" t="s">
        <v>9</v>
      </c>
      <c r="K16" s="233"/>
      <c r="L16" s="298"/>
      <c r="M16" s="280"/>
      <c r="N16" s="297" t="s">
        <v>98</v>
      </c>
      <c r="O16" s="297" t="s">
        <v>99</v>
      </c>
      <c r="P16" s="297" t="s">
        <v>100</v>
      </c>
      <c r="Q16" s="297" t="s">
        <v>101</v>
      </c>
      <c r="R16" s="297" t="s">
        <v>90</v>
      </c>
      <c r="S16" s="297" t="s">
        <v>91</v>
      </c>
      <c r="T16" s="297" t="s">
        <v>92</v>
      </c>
      <c r="U16" s="297" t="s">
        <v>93</v>
      </c>
      <c r="V16" s="297" t="s">
        <v>94</v>
      </c>
      <c r="W16" s="297" t="s">
        <v>95</v>
      </c>
      <c r="X16" s="297" t="s">
        <v>96</v>
      </c>
      <c r="Y16" s="297" t="s">
        <v>97</v>
      </c>
      <c r="Z16" s="299" t="s">
        <v>274</v>
      </c>
      <c r="AA16" s="297" t="s">
        <v>9</v>
      </c>
      <c r="AB16" s="218"/>
      <c r="AD16" s="280"/>
    </row>
    <row r="17" spans="2:30" s="54" customFormat="1" ht="15" customHeight="1">
      <c r="B17" s="77"/>
      <c r="C17" s="78"/>
      <c r="D17" s="78"/>
      <c r="E17" s="78"/>
      <c r="F17" s="78"/>
      <c r="G17" s="78"/>
      <c r="H17" s="78"/>
      <c r="I17" s="78"/>
      <c r="J17" s="78"/>
      <c r="K17" s="225"/>
      <c r="L17" s="78"/>
      <c r="M17" s="281"/>
      <c r="N17" s="78"/>
      <c r="O17" s="78"/>
      <c r="P17" s="78"/>
      <c r="Q17" s="78"/>
      <c r="R17" s="78"/>
      <c r="S17" s="78"/>
      <c r="T17" s="78"/>
      <c r="U17" s="78"/>
      <c r="V17" s="78"/>
      <c r="W17" s="78"/>
      <c r="X17" s="78"/>
      <c r="Y17" s="78"/>
      <c r="Z17" s="78"/>
      <c r="AA17" s="78"/>
      <c r="AB17" s="78"/>
      <c r="AD17" s="281"/>
    </row>
    <row r="18" spans="2:30" s="54" customFormat="1" ht="15" customHeight="1">
      <c r="B18" s="347" t="str">
        <f>Assumptions!C19</f>
        <v>REVENUE</v>
      </c>
      <c r="C18" s="53"/>
      <c r="D18" s="79"/>
      <c r="E18" s="79"/>
      <c r="F18" s="79"/>
      <c r="G18" s="79"/>
      <c r="H18" s="79"/>
      <c r="I18" s="79"/>
      <c r="J18" s="79"/>
      <c r="K18" s="79"/>
      <c r="L18" s="80"/>
      <c r="M18" s="280"/>
      <c r="N18" s="79"/>
      <c r="O18" s="79"/>
      <c r="P18" s="79"/>
      <c r="Q18" s="79"/>
      <c r="R18" s="79"/>
      <c r="S18" s="79"/>
      <c r="T18" s="79"/>
      <c r="U18" s="79"/>
      <c r="V18" s="79"/>
      <c r="W18" s="79"/>
      <c r="X18" s="79"/>
      <c r="Y18" s="79"/>
      <c r="Z18" s="79"/>
      <c r="AA18" s="79"/>
      <c r="AB18" s="79"/>
      <c r="AD18" s="280"/>
    </row>
    <row r="19" spans="2:30" s="54" customFormat="1" ht="15" customHeight="1">
      <c r="B19" s="81" t="str">
        <f>Assumptions!C20</f>
        <v>1000 - LOCAL TAXES</v>
      </c>
      <c r="C19" s="52"/>
      <c r="D19" s="79"/>
      <c r="E19" s="79"/>
      <c r="F19" s="79"/>
      <c r="G19" s="79"/>
      <c r="H19" s="79"/>
      <c r="I19" s="79"/>
      <c r="J19" s="79"/>
      <c r="K19" s="79"/>
      <c r="L19" s="82"/>
      <c r="M19" s="280"/>
      <c r="N19" s="79"/>
      <c r="O19" s="79"/>
      <c r="P19" s="79"/>
      <c r="Q19" s="79"/>
      <c r="R19" s="79"/>
      <c r="S19" s="79"/>
      <c r="T19" s="79"/>
      <c r="U19" s="79"/>
      <c r="V19" s="79"/>
      <c r="W19" s="79"/>
      <c r="X19" s="79"/>
      <c r="Y19" s="79"/>
      <c r="Z19" s="79"/>
      <c r="AA19" s="79"/>
      <c r="AB19" s="79"/>
      <c r="AD19" s="280"/>
    </row>
    <row r="20" spans="2:30" s="54" customFormat="1" ht="15" customHeight="1">
      <c r="B20" s="83" t="str">
        <f>Assumptions!C21</f>
        <v>1100 - Local Property Tax</v>
      </c>
      <c r="C20" s="53"/>
      <c r="D20" s="227">
        <v>0</v>
      </c>
      <c r="E20" s="227">
        <v>0</v>
      </c>
      <c r="F20" s="227">
        <v>0</v>
      </c>
      <c r="G20" s="227">
        <v>0</v>
      </c>
      <c r="H20" s="227">
        <v>0</v>
      </c>
      <c r="I20" s="227">
        <v>0</v>
      </c>
      <c r="J20" s="232">
        <f>SUM(D20:I20)</f>
        <v>0</v>
      </c>
      <c r="K20" s="220">
        <f>J20-'Start-Up Budget'!D20</f>
        <v>0</v>
      </c>
      <c r="L20" s="80"/>
      <c r="M20" s="279"/>
      <c r="N20" s="227">
        <v>0</v>
      </c>
      <c r="O20" s="227">
        <v>0</v>
      </c>
      <c r="P20" s="227">
        <v>0</v>
      </c>
      <c r="Q20" s="227">
        <v>0</v>
      </c>
      <c r="R20" s="227">
        <v>0</v>
      </c>
      <c r="S20" s="227">
        <v>0</v>
      </c>
      <c r="T20" s="227">
        <v>0</v>
      </c>
      <c r="U20" s="227">
        <v>0</v>
      </c>
      <c r="V20" s="227">
        <v>0</v>
      </c>
      <c r="W20" s="227">
        <v>0</v>
      </c>
      <c r="X20" s="227">
        <v>0</v>
      </c>
      <c r="Y20" s="227">
        <v>0</v>
      </c>
      <c r="Z20" s="227">
        <v>0</v>
      </c>
      <c r="AA20" s="232">
        <f>SUM(N20:Z20)</f>
        <v>0</v>
      </c>
      <c r="AB20" s="218">
        <f>AA20-'5 YR Budget'!D20</f>
        <v>0</v>
      </c>
      <c r="AD20" s="280"/>
    </row>
    <row r="21" spans="2:30" s="54" customFormat="1" ht="15" customHeight="1">
      <c r="B21" s="83" t="str">
        <f>Assumptions!C22</f>
        <v>1900 - Other Local Taxes</v>
      </c>
      <c r="C21" s="53"/>
      <c r="D21" s="227">
        <v>0</v>
      </c>
      <c r="E21" s="227">
        <v>0</v>
      </c>
      <c r="F21" s="227">
        <v>0</v>
      </c>
      <c r="G21" s="227">
        <v>0</v>
      </c>
      <c r="H21" s="227">
        <v>0</v>
      </c>
      <c r="I21" s="227">
        <v>0</v>
      </c>
      <c r="J21" s="232">
        <f>SUM(D21:I21)</f>
        <v>0</v>
      </c>
      <c r="K21" s="220">
        <f>J21-'Start-Up Budget'!D21</f>
        <v>0</v>
      </c>
      <c r="L21" s="80"/>
      <c r="M21" s="279"/>
      <c r="N21" s="227">
        <v>0</v>
      </c>
      <c r="O21" s="227">
        <v>0</v>
      </c>
      <c r="P21" s="227">
        <v>0</v>
      </c>
      <c r="Q21" s="227">
        <v>0</v>
      </c>
      <c r="R21" s="227">
        <v>0</v>
      </c>
      <c r="S21" s="227">
        <v>0</v>
      </c>
      <c r="T21" s="227">
        <v>0</v>
      </c>
      <c r="U21" s="227">
        <v>0</v>
      </c>
      <c r="V21" s="227">
        <v>0</v>
      </c>
      <c r="W21" s="227">
        <v>0</v>
      </c>
      <c r="X21" s="227">
        <v>0</v>
      </c>
      <c r="Y21" s="227">
        <v>0</v>
      </c>
      <c r="Z21" s="227">
        <v>0</v>
      </c>
      <c r="AA21" s="232">
        <f>SUM(N21:Z21)</f>
        <v>0</v>
      </c>
      <c r="AB21" s="218">
        <f>AA21-'5 YR Budget'!D21</f>
        <v>0</v>
      </c>
      <c r="AD21" s="280"/>
    </row>
    <row r="22" spans="2:30" s="54" customFormat="1" ht="15" customHeight="1">
      <c r="B22" s="83" t="str">
        <f>Assumptions!C23</f>
        <v>Custom LOCAL TAXES</v>
      </c>
      <c r="C22" s="53"/>
      <c r="D22" s="227">
        <v>0</v>
      </c>
      <c r="E22" s="227">
        <v>0</v>
      </c>
      <c r="F22" s="227">
        <v>0</v>
      </c>
      <c r="G22" s="227">
        <v>0</v>
      </c>
      <c r="H22" s="227">
        <v>0</v>
      </c>
      <c r="I22" s="227">
        <v>0</v>
      </c>
      <c r="J22" s="232">
        <f>SUM(D22:I22)</f>
        <v>0</v>
      </c>
      <c r="K22" s="220">
        <f>J22-'Start-Up Budget'!D22</f>
        <v>0</v>
      </c>
      <c r="L22" s="80"/>
      <c r="M22" s="279"/>
      <c r="N22" s="227">
        <v>0</v>
      </c>
      <c r="O22" s="227">
        <v>0</v>
      </c>
      <c r="P22" s="227">
        <v>0</v>
      </c>
      <c r="Q22" s="227">
        <v>0</v>
      </c>
      <c r="R22" s="227">
        <v>0</v>
      </c>
      <c r="S22" s="227">
        <v>0</v>
      </c>
      <c r="T22" s="227">
        <v>0</v>
      </c>
      <c r="U22" s="227">
        <v>0</v>
      </c>
      <c r="V22" s="227">
        <v>0</v>
      </c>
      <c r="W22" s="227">
        <v>0</v>
      </c>
      <c r="X22" s="227">
        <v>0</v>
      </c>
      <c r="Y22" s="227">
        <v>0</v>
      </c>
      <c r="Z22" s="227">
        <v>0</v>
      </c>
      <c r="AA22" s="232">
        <f>SUM(N22:Z22)</f>
        <v>0</v>
      </c>
      <c r="AB22" s="218">
        <f>AA22-'5 YR Budget'!D22</f>
        <v>0</v>
      </c>
      <c r="AD22" s="280"/>
    </row>
    <row r="23" spans="2:30" s="54" customFormat="1" ht="15" customHeight="1" thickBot="1">
      <c r="B23" s="81" t="str">
        <f>Assumptions!C24</f>
        <v>TOTAL LOCAL TAXES</v>
      </c>
      <c r="C23" s="53"/>
      <c r="D23" s="307">
        <f>SUM(D20:D22)</f>
        <v>0</v>
      </c>
      <c r="E23" s="307">
        <f t="shared" ref="E23:I23" si="11">SUM(E20:E22)</f>
        <v>0</v>
      </c>
      <c r="F23" s="307">
        <f t="shared" si="11"/>
        <v>0</v>
      </c>
      <c r="G23" s="307">
        <f t="shared" si="11"/>
        <v>0</v>
      </c>
      <c r="H23" s="307">
        <f t="shared" si="11"/>
        <v>0</v>
      </c>
      <c r="I23" s="307">
        <f t="shared" si="11"/>
        <v>0</v>
      </c>
      <c r="J23" s="307">
        <f>SUM(J20:J22)</f>
        <v>0</v>
      </c>
      <c r="K23" s="220">
        <f>J23-'Start-Up Budget'!D23</f>
        <v>0</v>
      </c>
      <c r="L23" s="80"/>
      <c r="M23" s="279"/>
      <c r="N23" s="307">
        <f t="shared" ref="N23:AA23" si="12">SUM(N20:N22)</f>
        <v>0</v>
      </c>
      <c r="O23" s="307">
        <f t="shared" si="12"/>
        <v>0</v>
      </c>
      <c r="P23" s="307">
        <f t="shared" si="12"/>
        <v>0</v>
      </c>
      <c r="Q23" s="307">
        <f t="shared" si="12"/>
        <v>0</v>
      </c>
      <c r="R23" s="307">
        <f t="shared" si="12"/>
        <v>0</v>
      </c>
      <c r="S23" s="307">
        <f t="shared" si="12"/>
        <v>0</v>
      </c>
      <c r="T23" s="307">
        <f t="shared" si="12"/>
        <v>0</v>
      </c>
      <c r="U23" s="307">
        <f t="shared" si="12"/>
        <v>0</v>
      </c>
      <c r="V23" s="307">
        <f t="shared" si="12"/>
        <v>0</v>
      </c>
      <c r="W23" s="307">
        <f t="shared" si="12"/>
        <v>0</v>
      </c>
      <c r="X23" s="307">
        <f t="shared" si="12"/>
        <v>0</v>
      </c>
      <c r="Y23" s="307">
        <f t="shared" si="12"/>
        <v>0</v>
      </c>
      <c r="Z23" s="307">
        <f t="shared" si="12"/>
        <v>0</v>
      </c>
      <c r="AA23" s="307">
        <f t="shared" si="12"/>
        <v>0</v>
      </c>
      <c r="AB23" s="218">
        <f>AA23-'5 YR Budget'!D23</f>
        <v>0</v>
      </c>
      <c r="AD23" s="280"/>
    </row>
    <row r="24" spans="2:30" s="54" customFormat="1" ht="6" customHeight="1" thickTop="1">
      <c r="B24" s="90"/>
      <c r="C24" s="53"/>
      <c r="D24" s="79"/>
      <c r="E24" s="79"/>
      <c r="F24" s="79"/>
      <c r="G24" s="79"/>
      <c r="H24" s="79"/>
      <c r="I24" s="79"/>
      <c r="J24" s="79"/>
      <c r="K24" s="220"/>
      <c r="L24" s="80"/>
      <c r="M24" s="279"/>
      <c r="N24" s="79"/>
      <c r="O24" s="79"/>
      <c r="P24" s="79"/>
      <c r="Q24" s="79"/>
      <c r="R24" s="79"/>
      <c r="S24" s="79"/>
      <c r="T24" s="79"/>
      <c r="U24" s="79"/>
      <c r="V24" s="79"/>
      <c r="W24" s="79"/>
      <c r="X24" s="79"/>
      <c r="Y24" s="79"/>
      <c r="Z24" s="79"/>
      <c r="AA24" s="79"/>
      <c r="AB24" s="218"/>
      <c r="AD24" s="280"/>
    </row>
    <row r="25" spans="2:30" s="54" customFormat="1" ht="15" customHeight="1">
      <c r="B25" s="81" t="str">
        <f>Assumptions!C26</f>
        <v>2000 - LOCAL SUPPORT - NON-TAX</v>
      </c>
      <c r="C25" s="53"/>
      <c r="D25" s="79"/>
      <c r="E25" s="79"/>
      <c r="F25" s="79"/>
      <c r="G25" s="79"/>
      <c r="H25" s="79"/>
      <c r="I25" s="79"/>
      <c r="J25" s="79"/>
      <c r="K25" s="220"/>
      <c r="L25" s="80"/>
      <c r="M25" s="279"/>
      <c r="N25" s="79"/>
      <c r="O25" s="79"/>
      <c r="P25" s="79"/>
      <c r="Q25" s="79"/>
      <c r="R25" s="79"/>
      <c r="S25" s="79"/>
      <c r="T25" s="79"/>
      <c r="U25" s="79"/>
      <c r="V25" s="79"/>
      <c r="W25" s="79"/>
      <c r="X25" s="79"/>
      <c r="Y25" s="79"/>
      <c r="Z25" s="79"/>
      <c r="AA25" s="79"/>
      <c r="AB25" s="218"/>
      <c r="AD25" s="280"/>
    </row>
    <row r="26" spans="2:30" s="54" customFormat="1" ht="15" customHeight="1">
      <c r="B26" s="83" t="str">
        <f>Assumptions!C27</f>
        <v xml:space="preserve">2200 - Sale Of Goods, Supplies, &amp; Services - Unassigned </v>
      </c>
      <c r="C26" s="53"/>
      <c r="D26" s="227">
        <v>0</v>
      </c>
      <c r="E26" s="227">
        <v>0</v>
      </c>
      <c r="F26" s="227">
        <v>0</v>
      </c>
      <c r="G26" s="227">
        <v>0</v>
      </c>
      <c r="H26" s="227">
        <v>0</v>
      </c>
      <c r="I26" s="227">
        <v>0</v>
      </c>
      <c r="J26" s="232">
        <f>SUM(D26:I26)</f>
        <v>0</v>
      </c>
      <c r="K26" s="220">
        <f>J26-'Start-Up Budget'!D26</f>
        <v>0</v>
      </c>
      <c r="L26" s="80"/>
      <c r="M26" s="279"/>
      <c r="N26" s="227">
        <v>0</v>
      </c>
      <c r="O26" s="227">
        <v>0</v>
      </c>
      <c r="P26" s="227">
        <v>0</v>
      </c>
      <c r="Q26" s="227">
        <v>0</v>
      </c>
      <c r="R26" s="227">
        <v>0</v>
      </c>
      <c r="S26" s="227">
        <v>0</v>
      </c>
      <c r="T26" s="227">
        <v>0</v>
      </c>
      <c r="U26" s="227">
        <v>0</v>
      </c>
      <c r="V26" s="227">
        <v>0</v>
      </c>
      <c r="W26" s="227">
        <v>0</v>
      </c>
      <c r="X26" s="227">
        <v>0</v>
      </c>
      <c r="Y26" s="227">
        <v>0</v>
      </c>
      <c r="Z26" s="227">
        <v>0</v>
      </c>
      <c r="AA26" s="232">
        <f>SUM(N26:Z26)</f>
        <v>0</v>
      </c>
      <c r="AB26" s="218">
        <f>AA26-'5 YR Budget'!D26</f>
        <v>0</v>
      </c>
      <c r="AD26" s="280"/>
    </row>
    <row r="27" spans="2:30" s="54" customFormat="1" ht="15" customHeight="1">
      <c r="B27" s="83" t="str">
        <f>Assumptions!C28</f>
        <v xml:space="preserve">2500 - Gifts Grants, and Donations (Local)   </v>
      </c>
      <c r="C27" s="53"/>
      <c r="D27" s="227">
        <v>0</v>
      </c>
      <c r="E27" s="227">
        <v>0</v>
      </c>
      <c r="F27" s="227">
        <v>0</v>
      </c>
      <c r="G27" s="227">
        <v>0</v>
      </c>
      <c r="H27" s="227">
        <v>0</v>
      </c>
      <c r="I27" s="227">
        <v>0</v>
      </c>
      <c r="J27" s="232">
        <f>SUM(D27:I27)</f>
        <v>0</v>
      </c>
      <c r="K27" s="220">
        <f>J27-'Start-Up Budget'!D27</f>
        <v>0</v>
      </c>
      <c r="L27" s="80"/>
      <c r="M27" s="279"/>
      <c r="N27" s="227">
        <v>0</v>
      </c>
      <c r="O27" s="227">
        <v>0</v>
      </c>
      <c r="P27" s="227">
        <v>0</v>
      </c>
      <c r="Q27" s="227">
        <v>0</v>
      </c>
      <c r="R27" s="227">
        <v>0</v>
      </c>
      <c r="S27" s="227">
        <v>0</v>
      </c>
      <c r="T27" s="227">
        <v>0</v>
      </c>
      <c r="U27" s="227">
        <v>0</v>
      </c>
      <c r="V27" s="227">
        <v>0</v>
      </c>
      <c r="W27" s="227">
        <v>0</v>
      </c>
      <c r="X27" s="227">
        <v>0</v>
      </c>
      <c r="Y27" s="227">
        <v>0</v>
      </c>
      <c r="Z27" s="227">
        <v>0</v>
      </c>
      <c r="AA27" s="232">
        <f>SUM(N27:Z27)</f>
        <v>0</v>
      </c>
      <c r="AB27" s="218">
        <f>AA27-'5 YR Budget'!D27</f>
        <v>0</v>
      </c>
      <c r="AD27" s="280"/>
    </row>
    <row r="28" spans="2:30" s="54" customFormat="1" ht="15" customHeight="1">
      <c r="B28" s="83" t="str">
        <f>Assumptions!C29</f>
        <v>Custom LOCAL SUPPORT - NON-TAX</v>
      </c>
      <c r="C28" s="53"/>
      <c r="D28" s="227">
        <v>0</v>
      </c>
      <c r="E28" s="227">
        <v>0</v>
      </c>
      <c r="F28" s="227">
        <v>0</v>
      </c>
      <c r="G28" s="227">
        <v>0</v>
      </c>
      <c r="H28" s="227">
        <v>0</v>
      </c>
      <c r="I28" s="227">
        <v>0</v>
      </c>
      <c r="J28" s="232">
        <f>SUM(D28:I28)</f>
        <v>0</v>
      </c>
      <c r="K28" s="220">
        <f>J28-'Start-Up Budget'!D28</f>
        <v>0</v>
      </c>
      <c r="L28" s="80"/>
      <c r="M28" s="279"/>
      <c r="N28" s="227">
        <v>0</v>
      </c>
      <c r="O28" s="227">
        <v>0</v>
      </c>
      <c r="P28" s="227">
        <v>0</v>
      </c>
      <c r="Q28" s="227">
        <v>0</v>
      </c>
      <c r="R28" s="227">
        <v>0</v>
      </c>
      <c r="S28" s="227">
        <v>0</v>
      </c>
      <c r="T28" s="227">
        <v>0</v>
      </c>
      <c r="U28" s="227">
        <v>0</v>
      </c>
      <c r="V28" s="227">
        <v>0</v>
      </c>
      <c r="W28" s="227">
        <v>0</v>
      </c>
      <c r="X28" s="227">
        <v>0</v>
      </c>
      <c r="Y28" s="227">
        <v>0</v>
      </c>
      <c r="Z28" s="227">
        <v>0</v>
      </c>
      <c r="AA28" s="232">
        <f>SUM(N28:Z28)</f>
        <v>0</v>
      </c>
      <c r="AB28" s="218">
        <f>AA28-'5 YR Budget'!D28</f>
        <v>0</v>
      </c>
      <c r="AD28" s="280"/>
    </row>
    <row r="29" spans="2:30" s="54" customFormat="1" ht="15" customHeight="1" thickBot="1">
      <c r="B29" s="81" t="str">
        <f>Assumptions!C30</f>
        <v>TOTAL LOCAL SUPPORT - NON-TAX</v>
      </c>
      <c r="C29" s="53"/>
      <c r="D29" s="307">
        <f>SUM(D26:D28)</f>
        <v>0</v>
      </c>
      <c r="E29" s="307">
        <f t="shared" ref="E29:I29" si="13">SUM(E26:E28)</f>
        <v>0</v>
      </c>
      <c r="F29" s="307">
        <f t="shared" si="13"/>
        <v>0</v>
      </c>
      <c r="G29" s="307">
        <f t="shared" si="13"/>
        <v>0</v>
      </c>
      <c r="H29" s="307">
        <f t="shared" si="13"/>
        <v>0</v>
      </c>
      <c r="I29" s="307">
        <f t="shared" si="13"/>
        <v>0</v>
      </c>
      <c r="J29" s="307">
        <f>SUM(J26:J28)</f>
        <v>0</v>
      </c>
      <c r="K29" s="220">
        <f>J29-'Start-Up Budget'!D29</f>
        <v>0</v>
      </c>
      <c r="L29" s="80"/>
      <c r="M29" s="279"/>
      <c r="N29" s="307">
        <f t="shared" ref="N29:AA29" si="14">SUM(N26:N28)</f>
        <v>0</v>
      </c>
      <c r="O29" s="307">
        <f t="shared" si="14"/>
        <v>0</v>
      </c>
      <c r="P29" s="307">
        <f t="shared" si="14"/>
        <v>0</v>
      </c>
      <c r="Q29" s="307">
        <f t="shared" si="14"/>
        <v>0</v>
      </c>
      <c r="R29" s="307">
        <f t="shared" si="14"/>
        <v>0</v>
      </c>
      <c r="S29" s="307">
        <f t="shared" si="14"/>
        <v>0</v>
      </c>
      <c r="T29" s="307">
        <f t="shared" si="14"/>
        <v>0</v>
      </c>
      <c r="U29" s="307">
        <f t="shared" si="14"/>
        <v>0</v>
      </c>
      <c r="V29" s="307">
        <f t="shared" si="14"/>
        <v>0</v>
      </c>
      <c r="W29" s="307">
        <f t="shared" si="14"/>
        <v>0</v>
      </c>
      <c r="X29" s="307">
        <f t="shared" si="14"/>
        <v>0</v>
      </c>
      <c r="Y29" s="307">
        <f t="shared" si="14"/>
        <v>0</v>
      </c>
      <c r="Z29" s="307">
        <f t="shared" si="14"/>
        <v>0</v>
      </c>
      <c r="AA29" s="307">
        <f t="shared" si="14"/>
        <v>0</v>
      </c>
      <c r="AB29" s="218">
        <f>AA29-'5 YR Budget'!D29</f>
        <v>0</v>
      </c>
      <c r="AD29" s="280"/>
    </row>
    <row r="30" spans="2:30" s="54" customFormat="1" ht="6" customHeight="1" thickTop="1">
      <c r="B30" s="90"/>
      <c r="C30" s="53"/>
      <c r="D30" s="79"/>
      <c r="E30" s="79"/>
      <c r="F30" s="79"/>
      <c r="G30" s="79"/>
      <c r="H30" s="79"/>
      <c r="I30" s="79"/>
      <c r="J30" s="79"/>
      <c r="K30" s="220"/>
      <c r="L30" s="80"/>
      <c r="M30" s="279"/>
      <c r="N30" s="79"/>
      <c r="O30" s="79"/>
      <c r="P30" s="79"/>
      <c r="Q30" s="79"/>
      <c r="R30" s="79"/>
      <c r="S30" s="79"/>
      <c r="T30" s="79"/>
      <c r="U30" s="79"/>
      <c r="V30" s="79"/>
      <c r="W30" s="79"/>
      <c r="X30" s="79"/>
      <c r="Y30" s="79"/>
      <c r="Z30" s="79"/>
      <c r="AA30" s="79"/>
      <c r="AB30" s="218"/>
      <c r="AD30" s="280"/>
    </row>
    <row r="31" spans="2:30" s="54" customFormat="1" ht="15" customHeight="1">
      <c r="B31" s="81" t="str">
        <f>Assumptions!C32</f>
        <v>3000 - STATE REVENUE - GENERAL PURPOSE</v>
      </c>
      <c r="C31" s="53"/>
      <c r="D31" s="79"/>
      <c r="E31" s="79"/>
      <c r="F31" s="79"/>
      <c r="G31" s="79"/>
      <c r="H31" s="79"/>
      <c r="I31" s="79"/>
      <c r="J31" s="79"/>
      <c r="K31" s="220"/>
      <c r="L31" s="80"/>
      <c r="M31" s="279"/>
      <c r="N31" s="79"/>
      <c r="O31" s="79"/>
      <c r="P31" s="79"/>
      <c r="Q31" s="79"/>
      <c r="R31" s="79"/>
      <c r="S31" s="79"/>
      <c r="T31" s="79"/>
      <c r="U31" s="79"/>
      <c r="V31" s="79"/>
      <c r="W31" s="79"/>
      <c r="X31" s="79"/>
      <c r="Y31" s="79"/>
      <c r="Z31" s="79"/>
      <c r="AA31" s="79"/>
      <c r="AB31" s="218"/>
      <c r="AD31" s="280"/>
    </row>
    <row r="32" spans="2:30" s="54" customFormat="1" ht="15" customHeight="1">
      <c r="B32" s="83" t="str">
        <f>Assumptions!C33</f>
        <v xml:space="preserve">3100 - Apportionment   </v>
      </c>
      <c r="C32" s="53"/>
      <c r="D32" s="227"/>
      <c r="E32" s="227">
        <v>0</v>
      </c>
      <c r="F32" s="227">
        <v>0</v>
      </c>
      <c r="G32" s="227">
        <v>0</v>
      </c>
      <c r="H32" s="227">
        <v>0</v>
      </c>
      <c r="I32" s="227">
        <v>0</v>
      </c>
      <c r="J32" s="232">
        <f>SUM(D32:I32)</f>
        <v>0</v>
      </c>
      <c r="K32" s="220">
        <f>J32-'Start-Up Budget'!D32</f>
        <v>0</v>
      </c>
      <c r="L32" s="80"/>
      <c r="M32" s="279"/>
      <c r="N32" s="227">
        <v>0</v>
      </c>
      <c r="O32" s="227">
        <v>0</v>
      </c>
      <c r="P32" s="227">
        <v>0</v>
      </c>
      <c r="Q32" s="227">
        <v>0</v>
      </c>
      <c r="R32" s="227">
        <v>0</v>
      </c>
      <c r="S32" s="227">
        <v>0</v>
      </c>
      <c r="T32" s="227">
        <v>0</v>
      </c>
      <c r="U32" s="227">
        <v>0</v>
      </c>
      <c r="V32" s="227">
        <v>0</v>
      </c>
      <c r="W32" s="227">
        <v>0</v>
      </c>
      <c r="X32" s="227">
        <v>0</v>
      </c>
      <c r="Y32" s="227">
        <v>0</v>
      </c>
      <c r="Z32" s="227">
        <v>0</v>
      </c>
      <c r="AA32" s="232">
        <f>SUM(N32:Z32)</f>
        <v>0</v>
      </c>
      <c r="AB32" s="218">
        <f>AA32-'5 YR Budget'!D32</f>
        <v>0</v>
      </c>
      <c r="AD32" s="280"/>
    </row>
    <row r="33" spans="2:30" s="54" customFormat="1" ht="15" customHeight="1">
      <c r="B33" s="83" t="str">
        <f>Assumptions!C34</f>
        <v xml:space="preserve">3121 - Special Education - General Apportionment  </v>
      </c>
      <c r="C33" s="53"/>
      <c r="D33" s="227">
        <v>0</v>
      </c>
      <c r="E33" s="227">
        <v>0</v>
      </c>
      <c r="F33" s="227">
        <v>0</v>
      </c>
      <c r="G33" s="227">
        <v>0</v>
      </c>
      <c r="H33" s="227">
        <v>0</v>
      </c>
      <c r="I33" s="227">
        <v>0</v>
      </c>
      <c r="J33" s="232">
        <f>SUM(D33:I33)</f>
        <v>0</v>
      </c>
      <c r="K33" s="220">
        <f>J33-'Start-Up Budget'!D33</f>
        <v>0</v>
      </c>
      <c r="L33" s="80"/>
      <c r="M33" s="279"/>
      <c r="N33" s="227">
        <v>0</v>
      </c>
      <c r="O33" s="227">
        <v>0</v>
      </c>
      <c r="P33" s="227">
        <v>0</v>
      </c>
      <c r="Q33" s="227">
        <v>0</v>
      </c>
      <c r="R33" s="227">
        <v>0</v>
      </c>
      <c r="S33" s="227">
        <v>0</v>
      </c>
      <c r="T33" s="227">
        <v>0</v>
      </c>
      <c r="U33" s="227">
        <v>0</v>
      </c>
      <c r="V33" s="227">
        <v>0</v>
      </c>
      <c r="W33" s="227">
        <v>0</v>
      </c>
      <c r="X33" s="227">
        <v>0</v>
      </c>
      <c r="Y33" s="227">
        <v>0</v>
      </c>
      <c r="Z33" s="227">
        <v>0</v>
      </c>
      <c r="AA33" s="232">
        <f>SUM(N33:Z33)</f>
        <v>0</v>
      </c>
      <c r="AB33" s="218">
        <f>AA33-'5 YR Budget'!D33</f>
        <v>0</v>
      </c>
      <c r="AD33" s="280"/>
    </row>
    <row r="34" spans="2:30" s="54" customFormat="1" ht="15" customHeight="1">
      <c r="B34" s="83" t="str">
        <f>Assumptions!C35</f>
        <v>Custom STATE REVENUE - GENERAL PURPOSE</v>
      </c>
      <c r="C34" s="53"/>
      <c r="D34" s="227">
        <v>0</v>
      </c>
      <c r="E34" s="227">
        <v>0</v>
      </c>
      <c r="F34" s="227">
        <v>0</v>
      </c>
      <c r="G34" s="227">
        <v>0</v>
      </c>
      <c r="H34" s="227">
        <v>0</v>
      </c>
      <c r="I34" s="227">
        <v>0</v>
      </c>
      <c r="J34" s="232">
        <f>SUM(D34:I34)</f>
        <v>0</v>
      </c>
      <c r="K34" s="220">
        <f>J34-'Start-Up Budget'!D34</f>
        <v>0</v>
      </c>
      <c r="L34" s="80"/>
      <c r="M34" s="279"/>
      <c r="N34" s="227">
        <v>0</v>
      </c>
      <c r="O34" s="227">
        <v>0</v>
      </c>
      <c r="P34" s="227">
        <v>0</v>
      </c>
      <c r="Q34" s="227">
        <v>0</v>
      </c>
      <c r="R34" s="227">
        <v>0</v>
      </c>
      <c r="S34" s="227">
        <v>0</v>
      </c>
      <c r="T34" s="227">
        <v>0</v>
      </c>
      <c r="U34" s="227">
        <v>0</v>
      </c>
      <c r="V34" s="227">
        <v>0</v>
      </c>
      <c r="W34" s="227">
        <v>0</v>
      </c>
      <c r="X34" s="227">
        <v>0</v>
      </c>
      <c r="Y34" s="227">
        <v>0</v>
      </c>
      <c r="Z34" s="227">
        <v>0</v>
      </c>
      <c r="AA34" s="232">
        <f>SUM(N34:Z34)</f>
        <v>0</v>
      </c>
      <c r="AB34" s="218">
        <f>AA34-'5 YR Budget'!D34</f>
        <v>0</v>
      </c>
      <c r="AD34" s="280"/>
    </row>
    <row r="35" spans="2:30" s="54" customFormat="1" ht="15" customHeight="1" thickBot="1">
      <c r="B35" s="81" t="str">
        <f>Assumptions!C36</f>
        <v>TOTAL STATE REVENUE - GENERAL PURPOSE</v>
      </c>
      <c r="C35" s="53"/>
      <c r="D35" s="307">
        <f>SUM(D32:D34)</f>
        <v>0</v>
      </c>
      <c r="E35" s="307">
        <f t="shared" ref="E35:J35" si="15">SUM(E32:E34)</f>
        <v>0</v>
      </c>
      <c r="F35" s="307">
        <f t="shared" si="15"/>
        <v>0</v>
      </c>
      <c r="G35" s="307">
        <f t="shared" si="15"/>
        <v>0</v>
      </c>
      <c r="H35" s="307">
        <f t="shared" si="15"/>
        <v>0</v>
      </c>
      <c r="I35" s="307">
        <f t="shared" si="15"/>
        <v>0</v>
      </c>
      <c r="J35" s="307">
        <f t="shared" si="15"/>
        <v>0</v>
      </c>
      <c r="K35" s="220">
        <f>J35-'Start-Up Budget'!D35</f>
        <v>0</v>
      </c>
      <c r="L35" s="80"/>
      <c r="M35" s="279"/>
      <c r="N35" s="307">
        <f t="shared" ref="N35:AA35" si="16">SUM(N32:N34)</f>
        <v>0</v>
      </c>
      <c r="O35" s="307">
        <f t="shared" si="16"/>
        <v>0</v>
      </c>
      <c r="P35" s="307">
        <f t="shared" si="16"/>
        <v>0</v>
      </c>
      <c r="Q35" s="307">
        <f t="shared" si="16"/>
        <v>0</v>
      </c>
      <c r="R35" s="307">
        <f t="shared" si="16"/>
        <v>0</v>
      </c>
      <c r="S35" s="307">
        <f t="shared" si="16"/>
        <v>0</v>
      </c>
      <c r="T35" s="307">
        <f t="shared" si="16"/>
        <v>0</v>
      </c>
      <c r="U35" s="307">
        <f t="shared" si="16"/>
        <v>0</v>
      </c>
      <c r="V35" s="307">
        <f t="shared" si="16"/>
        <v>0</v>
      </c>
      <c r="W35" s="307">
        <f t="shared" si="16"/>
        <v>0</v>
      </c>
      <c r="X35" s="307">
        <f t="shared" si="16"/>
        <v>0</v>
      </c>
      <c r="Y35" s="307">
        <f t="shared" si="16"/>
        <v>0</v>
      </c>
      <c r="Z35" s="307">
        <f t="shared" si="16"/>
        <v>0</v>
      </c>
      <c r="AA35" s="307">
        <f t="shared" si="16"/>
        <v>0</v>
      </c>
      <c r="AB35" s="218">
        <f>AA35-'5 YR Budget'!D35</f>
        <v>0</v>
      </c>
      <c r="AD35" s="280"/>
    </row>
    <row r="36" spans="2:30" s="54" customFormat="1" ht="6" customHeight="1" thickTop="1">
      <c r="B36" s="90"/>
      <c r="C36" s="53"/>
      <c r="D36" s="79"/>
      <c r="E36" s="79"/>
      <c r="F36" s="79"/>
      <c r="G36" s="79"/>
      <c r="H36" s="79"/>
      <c r="I36" s="79"/>
      <c r="J36" s="79"/>
      <c r="K36" s="220"/>
      <c r="L36" s="80"/>
      <c r="M36" s="279"/>
      <c r="N36" s="79"/>
      <c r="O36" s="79"/>
      <c r="P36" s="79"/>
      <c r="Q36" s="79"/>
      <c r="R36" s="79"/>
      <c r="S36" s="79"/>
      <c r="T36" s="79"/>
      <c r="U36" s="79"/>
      <c r="V36" s="79"/>
      <c r="W36" s="79"/>
      <c r="X36" s="79"/>
      <c r="Y36" s="79"/>
      <c r="Z36" s="79"/>
      <c r="AA36" s="79"/>
      <c r="AB36" s="218"/>
      <c r="AD36" s="280"/>
    </row>
    <row r="37" spans="2:30" s="54" customFormat="1" ht="15" customHeight="1">
      <c r="B37" s="81" t="str">
        <f>Assumptions!C38</f>
        <v>4000 - STATE REVENUE - SPECIAL PURPOSE</v>
      </c>
      <c r="C37" s="53"/>
      <c r="D37" s="79"/>
      <c r="E37" s="79"/>
      <c r="F37" s="79"/>
      <c r="G37" s="79"/>
      <c r="H37" s="79"/>
      <c r="I37" s="79"/>
      <c r="J37" s="79"/>
      <c r="K37" s="220"/>
      <c r="L37" s="80"/>
      <c r="M37" s="279"/>
      <c r="N37" s="79"/>
      <c r="O37" s="79"/>
      <c r="P37" s="79"/>
      <c r="Q37" s="79"/>
      <c r="R37" s="79"/>
      <c r="S37" s="79"/>
      <c r="T37" s="79"/>
      <c r="U37" s="79"/>
      <c r="V37" s="79"/>
      <c r="W37" s="79"/>
      <c r="X37" s="79"/>
      <c r="Y37" s="79"/>
      <c r="Z37" s="79"/>
      <c r="AA37" s="79"/>
      <c r="AB37" s="218"/>
      <c r="AD37" s="280"/>
    </row>
    <row r="38" spans="2:30" s="54" customFormat="1" ht="15" customHeight="1">
      <c r="B38" s="83" t="str">
        <f>Assumptions!C39</f>
        <v xml:space="preserve">4121 - Special Education - State   </v>
      </c>
      <c r="C38" s="53"/>
      <c r="D38" s="227">
        <v>0</v>
      </c>
      <c r="E38" s="227">
        <v>0</v>
      </c>
      <c r="F38" s="227">
        <v>0</v>
      </c>
      <c r="G38" s="227">
        <v>0</v>
      </c>
      <c r="H38" s="227">
        <v>0</v>
      </c>
      <c r="I38" s="227">
        <v>0</v>
      </c>
      <c r="J38" s="232">
        <f t="shared" ref="J38:J44" si="17">SUM(D38:I38)</f>
        <v>0</v>
      </c>
      <c r="K38" s="220">
        <f>J38-'Start-Up Budget'!D38</f>
        <v>0</v>
      </c>
      <c r="L38" s="80"/>
      <c r="M38" s="279"/>
      <c r="N38" s="227">
        <v>0</v>
      </c>
      <c r="O38" s="227">
        <v>0</v>
      </c>
      <c r="P38" s="227">
        <v>0</v>
      </c>
      <c r="Q38" s="227">
        <v>0</v>
      </c>
      <c r="R38" s="227">
        <v>0</v>
      </c>
      <c r="S38" s="227">
        <v>0</v>
      </c>
      <c r="T38" s="227">
        <v>0</v>
      </c>
      <c r="U38" s="227">
        <v>0</v>
      </c>
      <c r="V38" s="227">
        <v>0</v>
      </c>
      <c r="W38" s="227">
        <v>0</v>
      </c>
      <c r="X38" s="227">
        <v>0</v>
      </c>
      <c r="Y38" s="227">
        <v>0</v>
      </c>
      <c r="Z38" s="227">
        <v>0</v>
      </c>
      <c r="AA38" s="232">
        <f t="shared" ref="AA38:AA44" si="18">SUM(N38:Z38)</f>
        <v>0</v>
      </c>
      <c r="AB38" s="218">
        <f>AA38-'5 YR Budget'!D38</f>
        <v>0</v>
      </c>
      <c r="AD38" s="280"/>
    </row>
    <row r="39" spans="2:30" s="54" customFormat="1" ht="15" customHeight="1">
      <c r="B39" s="83" t="str">
        <f>Assumptions!C40</f>
        <v xml:space="preserve">4155 - Learning Assistance   </v>
      </c>
      <c r="C39" s="53"/>
      <c r="D39" s="227">
        <v>0</v>
      </c>
      <c r="E39" s="227">
        <v>0</v>
      </c>
      <c r="F39" s="227">
        <v>0</v>
      </c>
      <c r="G39" s="227">
        <v>0</v>
      </c>
      <c r="H39" s="227">
        <v>0</v>
      </c>
      <c r="I39" s="227">
        <v>0</v>
      </c>
      <c r="J39" s="232">
        <f t="shared" si="17"/>
        <v>0</v>
      </c>
      <c r="K39" s="220">
        <f>J39-'Start-Up Budget'!D39</f>
        <v>0</v>
      </c>
      <c r="L39" s="80"/>
      <c r="M39" s="279"/>
      <c r="N39" s="227">
        <v>0</v>
      </c>
      <c r="O39" s="227">
        <v>0</v>
      </c>
      <c r="P39" s="227">
        <v>0</v>
      </c>
      <c r="Q39" s="227">
        <v>0</v>
      </c>
      <c r="R39" s="227">
        <v>0</v>
      </c>
      <c r="S39" s="227">
        <v>0</v>
      </c>
      <c r="T39" s="227">
        <v>0</v>
      </c>
      <c r="U39" s="227">
        <v>0</v>
      </c>
      <c r="V39" s="227">
        <v>0</v>
      </c>
      <c r="W39" s="227">
        <v>0</v>
      </c>
      <c r="X39" s="227">
        <v>0</v>
      </c>
      <c r="Y39" s="227">
        <v>0</v>
      </c>
      <c r="Z39" s="227">
        <v>0</v>
      </c>
      <c r="AA39" s="232">
        <f t="shared" si="18"/>
        <v>0</v>
      </c>
      <c r="AB39" s="218">
        <f>AA39-'5 YR Budget'!D39</f>
        <v>0</v>
      </c>
      <c r="AD39" s="280"/>
    </row>
    <row r="40" spans="2:30" s="54" customFormat="1" ht="15" customHeight="1">
      <c r="B40" s="83" t="str">
        <f>Assumptions!C41</f>
        <v>4165 - Transitional Bilingual</v>
      </c>
      <c r="C40" s="53"/>
      <c r="D40" s="227">
        <v>0</v>
      </c>
      <c r="E40" s="227">
        <v>0</v>
      </c>
      <c r="F40" s="227">
        <v>0</v>
      </c>
      <c r="G40" s="227">
        <v>0</v>
      </c>
      <c r="H40" s="227">
        <v>0</v>
      </c>
      <c r="I40" s="227">
        <v>0</v>
      </c>
      <c r="J40" s="232">
        <f t="shared" si="17"/>
        <v>0</v>
      </c>
      <c r="K40" s="220">
        <f>J40-'Start-Up Budget'!D40</f>
        <v>0</v>
      </c>
      <c r="L40" s="80"/>
      <c r="M40" s="279"/>
      <c r="N40" s="227">
        <v>0</v>
      </c>
      <c r="O40" s="227">
        <v>0</v>
      </c>
      <c r="P40" s="227">
        <v>0</v>
      </c>
      <c r="Q40" s="227">
        <v>0</v>
      </c>
      <c r="R40" s="227">
        <v>0</v>
      </c>
      <c r="S40" s="227">
        <v>0</v>
      </c>
      <c r="T40" s="227">
        <v>0</v>
      </c>
      <c r="U40" s="227">
        <v>0</v>
      </c>
      <c r="V40" s="227">
        <v>0</v>
      </c>
      <c r="W40" s="227">
        <v>0</v>
      </c>
      <c r="X40" s="227">
        <v>0</v>
      </c>
      <c r="Y40" s="227">
        <v>0</v>
      </c>
      <c r="Z40" s="227">
        <v>0</v>
      </c>
      <c r="AA40" s="232">
        <f t="shared" si="18"/>
        <v>0</v>
      </c>
      <c r="AB40" s="218">
        <f>AA40-'5 YR Budget'!D40</f>
        <v>0</v>
      </c>
      <c r="AD40" s="280"/>
    </row>
    <row r="41" spans="2:30" s="54" customFormat="1" ht="15" customHeight="1">
      <c r="B41" s="83" t="str">
        <f>Assumptions!C42</f>
        <v xml:space="preserve">4174 - Highly Capable      </v>
      </c>
      <c r="C41" s="53"/>
      <c r="D41" s="227">
        <v>0</v>
      </c>
      <c r="E41" s="227">
        <v>0</v>
      </c>
      <c r="F41" s="227">
        <v>0</v>
      </c>
      <c r="G41" s="227">
        <v>0</v>
      </c>
      <c r="H41" s="227">
        <v>0</v>
      </c>
      <c r="I41" s="227">
        <v>0</v>
      </c>
      <c r="J41" s="232">
        <f t="shared" si="17"/>
        <v>0</v>
      </c>
      <c r="K41" s="220">
        <f>J41-'Start-Up Budget'!D41</f>
        <v>0</v>
      </c>
      <c r="L41" s="80"/>
      <c r="M41" s="279"/>
      <c r="N41" s="227">
        <v>0</v>
      </c>
      <c r="O41" s="227">
        <v>0</v>
      </c>
      <c r="P41" s="227">
        <v>0</v>
      </c>
      <c r="Q41" s="227">
        <v>0</v>
      </c>
      <c r="R41" s="227">
        <v>0</v>
      </c>
      <c r="S41" s="227">
        <v>0</v>
      </c>
      <c r="T41" s="227">
        <v>0</v>
      </c>
      <c r="U41" s="227">
        <v>0</v>
      </c>
      <c r="V41" s="227">
        <v>0</v>
      </c>
      <c r="W41" s="227">
        <v>0</v>
      </c>
      <c r="X41" s="227">
        <v>0</v>
      </c>
      <c r="Y41" s="227">
        <v>0</v>
      </c>
      <c r="Z41" s="227">
        <v>0</v>
      </c>
      <c r="AA41" s="232">
        <f t="shared" si="18"/>
        <v>0</v>
      </c>
      <c r="AB41" s="218">
        <f>AA41-'5 YR Budget'!D41</f>
        <v>0</v>
      </c>
      <c r="AD41" s="280"/>
    </row>
    <row r="42" spans="2:30" s="54" customFormat="1" ht="15" customHeight="1">
      <c r="B42" s="83" t="str">
        <f>Assumptions!C43</f>
        <v xml:space="preserve">4198 - School Food Service      </v>
      </c>
      <c r="C42" s="53"/>
      <c r="D42" s="227">
        <v>0</v>
      </c>
      <c r="E42" s="227">
        <v>0</v>
      </c>
      <c r="F42" s="227">
        <v>0</v>
      </c>
      <c r="G42" s="227">
        <v>0</v>
      </c>
      <c r="H42" s="227">
        <v>0</v>
      </c>
      <c r="I42" s="227">
        <v>0</v>
      </c>
      <c r="J42" s="232">
        <f t="shared" ref="J42" si="19">SUM(D42:I42)</f>
        <v>0</v>
      </c>
      <c r="K42" s="220">
        <f>J42-'Start-Up Budget'!D42</f>
        <v>0</v>
      </c>
      <c r="L42" s="80"/>
      <c r="M42" s="279"/>
      <c r="N42" s="227">
        <v>0</v>
      </c>
      <c r="O42" s="227">
        <v>0</v>
      </c>
      <c r="P42" s="227">
        <v>0</v>
      </c>
      <c r="Q42" s="227">
        <v>0</v>
      </c>
      <c r="R42" s="227">
        <v>0</v>
      </c>
      <c r="S42" s="227">
        <v>0</v>
      </c>
      <c r="T42" s="227">
        <v>0</v>
      </c>
      <c r="U42" s="227">
        <v>0</v>
      </c>
      <c r="V42" s="227">
        <v>0</v>
      </c>
      <c r="W42" s="227">
        <v>0</v>
      </c>
      <c r="X42" s="227">
        <v>0</v>
      </c>
      <c r="Y42" s="227">
        <v>0</v>
      </c>
      <c r="Z42" s="227">
        <v>0</v>
      </c>
      <c r="AA42" s="232">
        <f t="shared" ref="AA42" si="20">SUM(N42:Z42)</f>
        <v>0</v>
      </c>
      <c r="AB42" s="218">
        <f>AA42-'5 YR Budget'!D42</f>
        <v>0</v>
      </c>
      <c r="AD42" s="280"/>
    </row>
    <row r="43" spans="2:30" s="54" customFormat="1" ht="15" customHeight="1">
      <c r="B43" s="83" t="str">
        <f>Assumptions!C44</f>
        <v>4199 - Transportation - Operations</v>
      </c>
      <c r="C43" s="53"/>
      <c r="D43" s="227">
        <v>0</v>
      </c>
      <c r="E43" s="227">
        <v>0</v>
      </c>
      <c r="F43" s="227">
        <v>0</v>
      </c>
      <c r="G43" s="227">
        <v>0</v>
      </c>
      <c r="H43" s="227">
        <v>0</v>
      </c>
      <c r="I43" s="227">
        <v>0</v>
      </c>
      <c r="J43" s="232">
        <f t="shared" si="17"/>
        <v>0</v>
      </c>
      <c r="K43" s="220">
        <f>J43-'Start-Up Budget'!D43</f>
        <v>0</v>
      </c>
      <c r="L43" s="80"/>
      <c r="M43" s="279"/>
      <c r="N43" s="227">
        <v>0</v>
      </c>
      <c r="O43" s="227">
        <v>0</v>
      </c>
      <c r="P43" s="227">
        <v>0</v>
      </c>
      <c r="Q43" s="227">
        <v>0</v>
      </c>
      <c r="R43" s="227">
        <v>0</v>
      </c>
      <c r="S43" s="227">
        <v>0</v>
      </c>
      <c r="T43" s="227">
        <v>0</v>
      </c>
      <c r="U43" s="227">
        <v>0</v>
      </c>
      <c r="V43" s="227">
        <v>0</v>
      </c>
      <c r="W43" s="227">
        <v>0</v>
      </c>
      <c r="X43" s="227">
        <v>0</v>
      </c>
      <c r="Y43" s="227">
        <v>0</v>
      </c>
      <c r="Z43" s="227">
        <v>0</v>
      </c>
      <c r="AA43" s="232">
        <f t="shared" si="18"/>
        <v>0</v>
      </c>
      <c r="AB43" s="218">
        <f>AA43-'5 YR Budget'!D43</f>
        <v>0</v>
      </c>
      <c r="AD43" s="280"/>
    </row>
    <row r="44" spans="2:30" s="54" customFormat="1" ht="15" customHeight="1">
      <c r="B44" s="83" t="str">
        <f>Assumptions!C45</f>
        <v>Custom STATE REVENUE - SPECIAL PURPOSE</v>
      </c>
      <c r="C44" s="53"/>
      <c r="D44" s="227">
        <v>0</v>
      </c>
      <c r="E44" s="227">
        <v>0</v>
      </c>
      <c r="F44" s="227">
        <v>0</v>
      </c>
      <c r="G44" s="227">
        <v>0</v>
      </c>
      <c r="H44" s="227">
        <v>0</v>
      </c>
      <c r="I44" s="227">
        <v>0</v>
      </c>
      <c r="J44" s="232">
        <f t="shared" si="17"/>
        <v>0</v>
      </c>
      <c r="K44" s="220">
        <f>J44-'Start-Up Budget'!D44</f>
        <v>0</v>
      </c>
      <c r="L44" s="80"/>
      <c r="M44" s="279"/>
      <c r="N44" s="227">
        <v>0</v>
      </c>
      <c r="O44" s="227">
        <v>0</v>
      </c>
      <c r="P44" s="227">
        <v>0</v>
      </c>
      <c r="Q44" s="227">
        <v>0</v>
      </c>
      <c r="R44" s="227">
        <v>0</v>
      </c>
      <c r="S44" s="227">
        <v>0</v>
      </c>
      <c r="T44" s="227">
        <v>0</v>
      </c>
      <c r="U44" s="227">
        <v>0</v>
      </c>
      <c r="V44" s="227">
        <v>0</v>
      </c>
      <c r="W44" s="227">
        <v>0</v>
      </c>
      <c r="X44" s="227">
        <v>0</v>
      </c>
      <c r="Y44" s="227">
        <v>0</v>
      </c>
      <c r="Z44" s="227">
        <v>0</v>
      </c>
      <c r="AA44" s="232">
        <f t="shared" si="18"/>
        <v>0</v>
      </c>
      <c r="AB44" s="218">
        <f>AA44-'5 YR Budget'!D44</f>
        <v>0</v>
      </c>
      <c r="AD44" s="280"/>
    </row>
    <row r="45" spans="2:30" s="54" customFormat="1" ht="15" customHeight="1" thickBot="1">
      <c r="B45" s="81" t="str">
        <f>Assumptions!C46</f>
        <v>TOTAL STATE REVENUE - SPECIAL PURPOSE</v>
      </c>
      <c r="C45" s="53"/>
      <c r="D45" s="307">
        <f>SUM(D38:D44)</f>
        <v>0</v>
      </c>
      <c r="E45" s="307">
        <f t="shared" ref="E45:J45" si="21">SUM(E38:E44)</f>
        <v>0</v>
      </c>
      <c r="F45" s="307">
        <f t="shared" si="21"/>
        <v>0</v>
      </c>
      <c r="G45" s="307">
        <f t="shared" si="21"/>
        <v>0</v>
      </c>
      <c r="H45" s="307">
        <f t="shared" si="21"/>
        <v>0</v>
      </c>
      <c r="I45" s="307">
        <f t="shared" si="21"/>
        <v>0</v>
      </c>
      <c r="J45" s="307">
        <f t="shared" si="21"/>
        <v>0</v>
      </c>
      <c r="K45" s="220">
        <f>J45-'Start-Up Budget'!D45</f>
        <v>0</v>
      </c>
      <c r="L45" s="80"/>
      <c r="M45" s="279"/>
      <c r="N45" s="307">
        <f t="shared" ref="N45:AA45" si="22">SUM(N38:N44)</f>
        <v>0</v>
      </c>
      <c r="O45" s="307">
        <f t="shared" si="22"/>
        <v>0</v>
      </c>
      <c r="P45" s="307">
        <f t="shared" si="22"/>
        <v>0</v>
      </c>
      <c r="Q45" s="307">
        <f t="shared" si="22"/>
        <v>0</v>
      </c>
      <c r="R45" s="307">
        <f t="shared" si="22"/>
        <v>0</v>
      </c>
      <c r="S45" s="307">
        <f t="shared" si="22"/>
        <v>0</v>
      </c>
      <c r="T45" s="307">
        <f t="shared" si="22"/>
        <v>0</v>
      </c>
      <c r="U45" s="307">
        <f t="shared" si="22"/>
        <v>0</v>
      </c>
      <c r="V45" s="307">
        <f t="shared" si="22"/>
        <v>0</v>
      </c>
      <c r="W45" s="307">
        <f t="shared" si="22"/>
        <v>0</v>
      </c>
      <c r="X45" s="307">
        <f t="shared" si="22"/>
        <v>0</v>
      </c>
      <c r="Y45" s="307">
        <f t="shared" si="22"/>
        <v>0</v>
      </c>
      <c r="Z45" s="307">
        <f t="shared" si="22"/>
        <v>0</v>
      </c>
      <c r="AA45" s="307">
        <f t="shared" si="22"/>
        <v>0</v>
      </c>
      <c r="AB45" s="218">
        <f>AA45-'5 YR Budget'!D45</f>
        <v>0</v>
      </c>
      <c r="AD45" s="280"/>
    </row>
    <row r="46" spans="2:30" s="54" customFormat="1" ht="6" customHeight="1" thickTop="1">
      <c r="B46" s="90"/>
      <c r="C46" s="53"/>
      <c r="D46" s="79"/>
      <c r="E46" s="79"/>
      <c r="F46" s="79"/>
      <c r="G46" s="79"/>
      <c r="H46" s="79"/>
      <c r="I46" s="79"/>
      <c r="J46" s="79"/>
      <c r="K46" s="220"/>
      <c r="L46" s="80"/>
      <c r="M46" s="279"/>
      <c r="N46" s="79"/>
      <c r="O46" s="79"/>
      <c r="P46" s="79"/>
      <c r="Q46" s="79"/>
      <c r="R46" s="79"/>
      <c r="S46" s="79"/>
      <c r="T46" s="79"/>
      <c r="U46" s="79"/>
      <c r="V46" s="79"/>
      <c r="W46" s="79"/>
      <c r="X46" s="79"/>
      <c r="Y46" s="79"/>
      <c r="Z46" s="79"/>
      <c r="AA46" s="79"/>
      <c r="AB46" s="218"/>
      <c r="AD46" s="280"/>
    </row>
    <row r="47" spans="2:30" s="54" customFormat="1" ht="15" customHeight="1">
      <c r="B47" s="81" t="str">
        <f>Assumptions!C48</f>
        <v>5000 - FEDERAL REVENUE - GENERAL PURPOSE</v>
      </c>
      <c r="C47" s="53"/>
      <c r="D47" s="79"/>
      <c r="E47" s="79"/>
      <c r="F47" s="79"/>
      <c r="G47" s="79"/>
      <c r="H47" s="79"/>
      <c r="I47" s="79"/>
      <c r="J47" s="79"/>
      <c r="K47" s="220"/>
      <c r="L47" s="80"/>
      <c r="M47" s="279"/>
      <c r="N47" s="79"/>
      <c r="O47" s="79"/>
      <c r="P47" s="79"/>
      <c r="Q47" s="79"/>
      <c r="R47" s="79"/>
      <c r="S47" s="79"/>
      <c r="T47" s="79"/>
      <c r="U47" s="79"/>
      <c r="V47" s="79"/>
      <c r="W47" s="79"/>
      <c r="X47" s="79"/>
      <c r="Y47" s="79"/>
      <c r="Z47" s="79"/>
      <c r="AA47" s="79"/>
      <c r="AB47" s="218"/>
      <c r="AD47" s="280"/>
    </row>
    <row r="48" spans="2:30" s="54" customFormat="1" ht="15" customHeight="1">
      <c r="B48" s="83" t="str">
        <f>Assumptions!C49</f>
        <v xml:space="preserve">5200 - General Purpose Direct Fed. Grants - Unassigned  </v>
      </c>
      <c r="C48" s="53"/>
      <c r="D48" s="227">
        <v>0</v>
      </c>
      <c r="E48" s="227">
        <v>0</v>
      </c>
      <c r="F48" s="227">
        <v>0</v>
      </c>
      <c r="G48" s="227">
        <v>0</v>
      </c>
      <c r="H48" s="227">
        <v>0</v>
      </c>
      <c r="I48" s="227">
        <v>0</v>
      </c>
      <c r="J48" s="232">
        <f t="shared" ref="J48:J53" si="23">SUM(D48:I48)</f>
        <v>0</v>
      </c>
      <c r="K48" s="220">
        <f>J48-'Start-Up Budget'!D48</f>
        <v>0</v>
      </c>
      <c r="L48" s="80"/>
      <c r="M48" s="279"/>
      <c r="N48" s="227">
        <v>0</v>
      </c>
      <c r="O48" s="227">
        <v>0</v>
      </c>
      <c r="P48" s="227">
        <v>0</v>
      </c>
      <c r="Q48" s="227">
        <v>0</v>
      </c>
      <c r="R48" s="227">
        <v>0</v>
      </c>
      <c r="S48" s="227">
        <v>0</v>
      </c>
      <c r="T48" s="227">
        <v>0</v>
      </c>
      <c r="U48" s="227">
        <v>0</v>
      </c>
      <c r="V48" s="227">
        <v>0</v>
      </c>
      <c r="W48" s="227">
        <v>0</v>
      </c>
      <c r="X48" s="227">
        <v>0</v>
      </c>
      <c r="Y48" s="227">
        <v>0</v>
      </c>
      <c r="Z48" s="227">
        <v>0</v>
      </c>
      <c r="AA48" s="232">
        <f t="shared" ref="AA48:AA53" si="24">SUM(N48:Z48)</f>
        <v>0</v>
      </c>
      <c r="AB48" s="218">
        <f>AA48-'5 YR Budget'!D48</f>
        <v>0</v>
      </c>
      <c r="AD48" s="280"/>
    </row>
    <row r="49" spans="2:30" s="54" customFormat="1" ht="15" customHeight="1">
      <c r="B49" s="328" t="str">
        <f>Assumptions!C50</f>
        <v>Title I</v>
      </c>
      <c r="C49" s="53"/>
      <c r="D49" s="227">
        <v>0</v>
      </c>
      <c r="E49" s="227">
        <v>0</v>
      </c>
      <c r="F49" s="227">
        <v>0</v>
      </c>
      <c r="G49" s="227">
        <v>0</v>
      </c>
      <c r="H49" s="227">
        <v>0</v>
      </c>
      <c r="I49" s="227">
        <v>0</v>
      </c>
      <c r="J49" s="232">
        <f t="shared" si="23"/>
        <v>0</v>
      </c>
      <c r="K49" s="220">
        <f>J49-'Start-Up Budget'!D49</f>
        <v>0</v>
      </c>
      <c r="L49" s="80"/>
      <c r="M49" s="279"/>
      <c r="N49" s="227">
        <v>0</v>
      </c>
      <c r="O49" s="227">
        <v>0</v>
      </c>
      <c r="P49" s="227">
        <v>0</v>
      </c>
      <c r="Q49" s="227">
        <v>0</v>
      </c>
      <c r="R49" s="227">
        <v>0</v>
      </c>
      <c r="S49" s="227">
        <v>0</v>
      </c>
      <c r="T49" s="227">
        <v>0</v>
      </c>
      <c r="U49" s="227">
        <v>0</v>
      </c>
      <c r="V49" s="227">
        <v>0</v>
      </c>
      <c r="W49" s="227">
        <v>0</v>
      </c>
      <c r="X49" s="227">
        <v>0</v>
      </c>
      <c r="Y49" s="227">
        <v>0</v>
      </c>
      <c r="Z49" s="227">
        <v>0</v>
      </c>
      <c r="AA49" s="232">
        <f t="shared" si="24"/>
        <v>0</v>
      </c>
      <c r="AB49" s="218">
        <f>AA49-'5 YR Budget'!D49</f>
        <v>0</v>
      </c>
      <c r="AD49" s="280"/>
    </row>
    <row r="50" spans="2:30" s="54" customFormat="1" ht="15" customHeight="1">
      <c r="B50" s="328" t="str">
        <f>Assumptions!C51</f>
        <v>Title II</v>
      </c>
      <c r="C50" s="53"/>
      <c r="D50" s="227">
        <v>0</v>
      </c>
      <c r="E50" s="227">
        <v>0</v>
      </c>
      <c r="F50" s="227">
        <v>0</v>
      </c>
      <c r="G50" s="227">
        <v>0</v>
      </c>
      <c r="H50" s="227">
        <v>0</v>
      </c>
      <c r="I50" s="227">
        <v>0</v>
      </c>
      <c r="J50" s="232">
        <f t="shared" si="23"/>
        <v>0</v>
      </c>
      <c r="K50" s="220">
        <f>J50-'Start-Up Budget'!D50</f>
        <v>0</v>
      </c>
      <c r="L50" s="80"/>
      <c r="M50" s="279"/>
      <c r="N50" s="227">
        <v>0</v>
      </c>
      <c r="O50" s="227">
        <v>0</v>
      </c>
      <c r="P50" s="227">
        <v>0</v>
      </c>
      <c r="Q50" s="227">
        <v>0</v>
      </c>
      <c r="R50" s="227">
        <v>0</v>
      </c>
      <c r="S50" s="227">
        <v>0</v>
      </c>
      <c r="T50" s="227">
        <v>0</v>
      </c>
      <c r="U50" s="227">
        <v>0</v>
      </c>
      <c r="V50" s="227">
        <v>0</v>
      </c>
      <c r="W50" s="227">
        <v>0</v>
      </c>
      <c r="X50" s="227">
        <v>0</v>
      </c>
      <c r="Y50" s="227">
        <v>0</v>
      </c>
      <c r="Z50" s="227">
        <v>0</v>
      </c>
      <c r="AA50" s="232">
        <f t="shared" si="24"/>
        <v>0</v>
      </c>
      <c r="AB50" s="218">
        <f>AA50-'5 YR Budget'!D50</f>
        <v>0</v>
      </c>
      <c r="AD50" s="280"/>
    </row>
    <row r="51" spans="2:30" s="54" customFormat="1" ht="15" customHeight="1">
      <c r="B51" s="328" t="str">
        <f>Assumptions!C52</f>
        <v>Title III</v>
      </c>
      <c r="C51" s="53"/>
      <c r="D51" s="227">
        <v>0</v>
      </c>
      <c r="E51" s="227">
        <v>0</v>
      </c>
      <c r="F51" s="227">
        <v>0</v>
      </c>
      <c r="G51" s="227">
        <v>0</v>
      </c>
      <c r="H51" s="227">
        <v>0</v>
      </c>
      <c r="I51" s="227">
        <v>0</v>
      </c>
      <c r="J51" s="232">
        <f t="shared" si="23"/>
        <v>0</v>
      </c>
      <c r="K51" s="220">
        <f>J51-'Start-Up Budget'!D51</f>
        <v>0</v>
      </c>
      <c r="L51" s="80"/>
      <c r="M51" s="279"/>
      <c r="N51" s="227">
        <v>0</v>
      </c>
      <c r="O51" s="227">
        <v>0</v>
      </c>
      <c r="P51" s="227">
        <v>0</v>
      </c>
      <c r="Q51" s="227">
        <v>0</v>
      </c>
      <c r="R51" s="227">
        <v>0</v>
      </c>
      <c r="S51" s="227">
        <v>0</v>
      </c>
      <c r="T51" s="227">
        <v>0</v>
      </c>
      <c r="U51" s="227">
        <v>0</v>
      </c>
      <c r="V51" s="227">
        <v>0</v>
      </c>
      <c r="W51" s="227">
        <v>0</v>
      </c>
      <c r="X51" s="227">
        <v>0</v>
      </c>
      <c r="Y51" s="227">
        <v>0</v>
      </c>
      <c r="Z51" s="227">
        <v>0</v>
      </c>
      <c r="AA51" s="232">
        <f t="shared" si="24"/>
        <v>0</v>
      </c>
      <c r="AB51" s="218">
        <f>AA51-'5 YR Budget'!D51</f>
        <v>0</v>
      </c>
      <c r="AD51" s="280"/>
    </row>
    <row r="52" spans="2:30" s="54" customFormat="1" ht="15" customHeight="1">
      <c r="B52" s="328" t="str">
        <f>Assumptions!C53</f>
        <v>IDEA Funding</v>
      </c>
      <c r="C52" s="53"/>
      <c r="D52" s="227">
        <v>0</v>
      </c>
      <c r="E52" s="227">
        <v>0</v>
      </c>
      <c r="F52" s="227">
        <v>0</v>
      </c>
      <c r="G52" s="227">
        <v>0</v>
      </c>
      <c r="H52" s="227">
        <v>0</v>
      </c>
      <c r="I52" s="227">
        <v>0</v>
      </c>
      <c r="J52" s="232">
        <f t="shared" si="23"/>
        <v>0</v>
      </c>
      <c r="K52" s="220">
        <f>J52-'Start-Up Budget'!D52</f>
        <v>0</v>
      </c>
      <c r="L52" s="80"/>
      <c r="M52" s="279"/>
      <c r="N52" s="227">
        <v>0</v>
      </c>
      <c r="O52" s="227">
        <v>0</v>
      </c>
      <c r="P52" s="227">
        <v>0</v>
      </c>
      <c r="Q52" s="227">
        <v>0</v>
      </c>
      <c r="R52" s="227">
        <v>0</v>
      </c>
      <c r="S52" s="227">
        <v>0</v>
      </c>
      <c r="T52" s="227">
        <v>0</v>
      </c>
      <c r="U52" s="227">
        <v>0</v>
      </c>
      <c r="V52" s="227">
        <v>0</v>
      </c>
      <c r="W52" s="227">
        <v>0</v>
      </c>
      <c r="X52" s="227">
        <v>0</v>
      </c>
      <c r="Y52" s="227">
        <v>0</v>
      </c>
      <c r="Z52" s="227">
        <v>0</v>
      </c>
      <c r="AA52" s="232">
        <f t="shared" si="24"/>
        <v>0</v>
      </c>
      <c r="AB52" s="218">
        <f>AA52-'5 YR Budget'!D52</f>
        <v>0</v>
      </c>
      <c r="AD52" s="280"/>
    </row>
    <row r="53" spans="2:30" s="54" customFormat="1" ht="15" customHeight="1">
      <c r="B53" s="328" t="str">
        <f>Assumptions!C54</f>
        <v>CSP</v>
      </c>
      <c r="C53" s="53"/>
      <c r="D53" s="227">
        <v>0</v>
      </c>
      <c r="E53" s="227">
        <v>0</v>
      </c>
      <c r="F53" s="227">
        <v>0</v>
      </c>
      <c r="G53" s="227">
        <v>0</v>
      </c>
      <c r="H53" s="227">
        <v>0</v>
      </c>
      <c r="I53" s="227">
        <v>0</v>
      </c>
      <c r="J53" s="232">
        <f t="shared" si="23"/>
        <v>0</v>
      </c>
      <c r="K53" s="220">
        <f>J53-'Start-Up Budget'!D53</f>
        <v>0</v>
      </c>
      <c r="L53" s="80"/>
      <c r="M53" s="282"/>
      <c r="N53" s="227">
        <v>0</v>
      </c>
      <c r="O53" s="227">
        <v>0</v>
      </c>
      <c r="P53" s="227">
        <v>0</v>
      </c>
      <c r="Q53" s="227">
        <v>0</v>
      </c>
      <c r="R53" s="227">
        <v>0</v>
      </c>
      <c r="S53" s="227">
        <v>0</v>
      </c>
      <c r="T53" s="227">
        <v>0</v>
      </c>
      <c r="U53" s="227">
        <v>0</v>
      </c>
      <c r="V53" s="227">
        <v>0</v>
      </c>
      <c r="W53" s="227">
        <v>0</v>
      </c>
      <c r="X53" s="227">
        <v>0</v>
      </c>
      <c r="Y53" s="227">
        <v>0</v>
      </c>
      <c r="Z53" s="227">
        <v>0</v>
      </c>
      <c r="AA53" s="232">
        <f t="shared" si="24"/>
        <v>0</v>
      </c>
      <c r="AB53" s="218">
        <f>AA53-'5 YR Budget'!D53</f>
        <v>0</v>
      </c>
      <c r="AD53" s="221"/>
    </row>
    <row r="54" spans="2:30" s="54" customFormat="1" ht="15" customHeight="1">
      <c r="B54" s="83" t="str">
        <f>Assumptions!C55</f>
        <v xml:space="preserve">Total 5200 - General Purpose Direct Fed. Grants - Unassigned  </v>
      </c>
      <c r="C54" s="53"/>
      <c r="D54" s="334">
        <f>SUM(D48:D53)</f>
        <v>0</v>
      </c>
      <c r="E54" s="334">
        <f t="shared" ref="E54:J54" si="25">SUM(E48:E53)</f>
        <v>0</v>
      </c>
      <c r="F54" s="334">
        <f t="shared" si="25"/>
        <v>0</v>
      </c>
      <c r="G54" s="334">
        <f t="shared" si="25"/>
        <v>0</v>
      </c>
      <c r="H54" s="334">
        <f t="shared" si="25"/>
        <v>0</v>
      </c>
      <c r="I54" s="334">
        <f t="shared" si="25"/>
        <v>0</v>
      </c>
      <c r="J54" s="334">
        <f t="shared" si="25"/>
        <v>0</v>
      </c>
      <c r="K54" s="220">
        <f>J54-'Start-Up Budget'!D54</f>
        <v>0</v>
      </c>
      <c r="L54" s="80"/>
      <c r="M54" s="282"/>
      <c r="N54" s="334">
        <f t="shared" ref="N54:AA54" si="26">SUM(N48:N53)</f>
        <v>0</v>
      </c>
      <c r="O54" s="334">
        <f t="shared" si="26"/>
        <v>0</v>
      </c>
      <c r="P54" s="334">
        <f t="shared" si="26"/>
        <v>0</v>
      </c>
      <c r="Q54" s="334">
        <f t="shared" si="26"/>
        <v>0</v>
      </c>
      <c r="R54" s="334">
        <f t="shared" si="26"/>
        <v>0</v>
      </c>
      <c r="S54" s="334">
        <f t="shared" si="26"/>
        <v>0</v>
      </c>
      <c r="T54" s="334">
        <f t="shared" si="26"/>
        <v>0</v>
      </c>
      <c r="U54" s="334">
        <f t="shared" si="26"/>
        <v>0</v>
      </c>
      <c r="V54" s="334">
        <f t="shared" si="26"/>
        <v>0</v>
      </c>
      <c r="W54" s="334">
        <f t="shared" si="26"/>
        <v>0</v>
      </c>
      <c r="X54" s="334">
        <f t="shared" si="26"/>
        <v>0</v>
      </c>
      <c r="Y54" s="334">
        <f t="shared" si="26"/>
        <v>0</v>
      </c>
      <c r="Z54" s="334">
        <f t="shared" si="26"/>
        <v>0</v>
      </c>
      <c r="AA54" s="334">
        <f t="shared" si="26"/>
        <v>0</v>
      </c>
      <c r="AB54" s="218">
        <f>AA54-'5 YR Budget'!D54</f>
        <v>0</v>
      </c>
      <c r="AD54" s="221"/>
    </row>
    <row r="55" spans="2:30" s="54" customFormat="1" ht="15" customHeight="1">
      <c r="B55" s="83" t="str">
        <f>Assumptions!C56</f>
        <v>Custom FEDERAL REVENUE - GENERAL PURPOSE</v>
      </c>
      <c r="C55" s="53"/>
      <c r="D55" s="227">
        <v>0</v>
      </c>
      <c r="E55" s="227">
        <v>0</v>
      </c>
      <c r="F55" s="227">
        <v>0</v>
      </c>
      <c r="G55" s="227">
        <v>0</v>
      </c>
      <c r="H55" s="227">
        <v>0</v>
      </c>
      <c r="I55" s="227">
        <v>0</v>
      </c>
      <c r="J55" s="232">
        <f>SUM(D55:I55)</f>
        <v>0</v>
      </c>
      <c r="K55" s="220">
        <f>J55-'Start-Up Budget'!D55</f>
        <v>0</v>
      </c>
      <c r="L55" s="80"/>
      <c r="M55" s="282"/>
      <c r="N55" s="227">
        <v>0</v>
      </c>
      <c r="O55" s="227">
        <v>0</v>
      </c>
      <c r="P55" s="227">
        <v>0</v>
      </c>
      <c r="Q55" s="227">
        <v>0</v>
      </c>
      <c r="R55" s="227">
        <v>0</v>
      </c>
      <c r="S55" s="227">
        <v>0</v>
      </c>
      <c r="T55" s="227">
        <v>0</v>
      </c>
      <c r="U55" s="227">
        <v>0</v>
      </c>
      <c r="V55" s="227">
        <v>0</v>
      </c>
      <c r="W55" s="227">
        <v>0</v>
      </c>
      <c r="X55" s="227">
        <v>0</v>
      </c>
      <c r="Y55" s="227">
        <v>0</v>
      </c>
      <c r="Z55" s="227">
        <v>0</v>
      </c>
      <c r="AA55" s="232">
        <f>SUM(N55:Z55)</f>
        <v>0</v>
      </c>
      <c r="AB55" s="218">
        <f>AA55-'5 YR Budget'!D55</f>
        <v>0</v>
      </c>
      <c r="AD55" s="221"/>
    </row>
    <row r="56" spans="2:30" s="54" customFormat="1" ht="15" customHeight="1" thickBot="1">
      <c r="B56" s="81" t="str">
        <f>Assumptions!C57</f>
        <v>TOTAL FEDERAL REVENUE - GENERAL PURPOSE</v>
      </c>
      <c r="C56" s="53"/>
      <c r="D56" s="307">
        <f>SUM(D54:D55)</f>
        <v>0</v>
      </c>
      <c r="E56" s="307">
        <f t="shared" ref="E56:J56" si="27">SUM(E54:E55)</f>
        <v>0</v>
      </c>
      <c r="F56" s="307">
        <f t="shared" si="27"/>
        <v>0</v>
      </c>
      <c r="G56" s="307">
        <f t="shared" si="27"/>
        <v>0</v>
      </c>
      <c r="H56" s="307">
        <f t="shared" si="27"/>
        <v>0</v>
      </c>
      <c r="I56" s="307">
        <f t="shared" si="27"/>
        <v>0</v>
      </c>
      <c r="J56" s="307">
        <f t="shared" si="27"/>
        <v>0</v>
      </c>
      <c r="K56" s="220">
        <f>J56-'Start-Up Budget'!D56</f>
        <v>0</v>
      </c>
      <c r="L56" s="80"/>
      <c r="M56" s="282"/>
      <c r="N56" s="307">
        <f t="shared" ref="N56:AA56" si="28">SUM(N54:N55)</f>
        <v>0</v>
      </c>
      <c r="O56" s="307">
        <f t="shared" si="28"/>
        <v>0</v>
      </c>
      <c r="P56" s="307">
        <f t="shared" si="28"/>
        <v>0</v>
      </c>
      <c r="Q56" s="307">
        <f t="shared" si="28"/>
        <v>0</v>
      </c>
      <c r="R56" s="307">
        <f t="shared" si="28"/>
        <v>0</v>
      </c>
      <c r="S56" s="307">
        <f t="shared" si="28"/>
        <v>0</v>
      </c>
      <c r="T56" s="307">
        <f t="shared" si="28"/>
        <v>0</v>
      </c>
      <c r="U56" s="307">
        <f t="shared" si="28"/>
        <v>0</v>
      </c>
      <c r="V56" s="307">
        <f t="shared" si="28"/>
        <v>0</v>
      </c>
      <c r="W56" s="307">
        <f t="shared" si="28"/>
        <v>0</v>
      </c>
      <c r="X56" s="307">
        <f t="shared" si="28"/>
        <v>0</v>
      </c>
      <c r="Y56" s="307">
        <f t="shared" si="28"/>
        <v>0</v>
      </c>
      <c r="Z56" s="307">
        <f t="shared" si="28"/>
        <v>0</v>
      </c>
      <c r="AA56" s="307">
        <f t="shared" si="28"/>
        <v>0</v>
      </c>
      <c r="AB56" s="218">
        <f>AA56-'5 YR Budget'!D56</f>
        <v>0</v>
      </c>
      <c r="AD56" s="221"/>
    </row>
    <row r="57" spans="2:30" s="54" customFormat="1" ht="6" customHeight="1" thickTop="1">
      <c r="B57" s="90"/>
      <c r="C57" s="53"/>
      <c r="D57" s="79"/>
      <c r="E57" s="79"/>
      <c r="F57" s="79"/>
      <c r="G57" s="79"/>
      <c r="H57" s="79"/>
      <c r="I57" s="79"/>
      <c r="J57" s="79"/>
      <c r="K57" s="220">
        <f>J57-'Start-Up Budget'!D56</f>
        <v>0</v>
      </c>
      <c r="L57" s="80"/>
      <c r="M57" s="282"/>
      <c r="N57" s="79"/>
      <c r="O57" s="79"/>
      <c r="P57" s="79"/>
      <c r="Q57" s="79"/>
      <c r="R57" s="79"/>
      <c r="S57" s="79"/>
      <c r="T57" s="79"/>
      <c r="U57" s="79"/>
      <c r="V57" s="79"/>
      <c r="W57" s="79"/>
      <c r="X57" s="79"/>
      <c r="Y57" s="79"/>
      <c r="Z57" s="79"/>
      <c r="AA57" s="79"/>
      <c r="AB57" s="218"/>
      <c r="AD57" s="221"/>
    </row>
    <row r="58" spans="2:30" s="54" customFormat="1" ht="15" customHeight="1">
      <c r="B58" s="81" t="str">
        <f>Assumptions!C59</f>
        <v>6000 - FEDERAL REVENUE - SPECIAL PURPOSE</v>
      </c>
      <c r="C58" s="53"/>
      <c r="D58" s="79"/>
      <c r="E58" s="79"/>
      <c r="F58" s="79"/>
      <c r="G58" s="79"/>
      <c r="H58" s="79"/>
      <c r="I58" s="79"/>
      <c r="J58" s="79"/>
      <c r="K58" s="220"/>
      <c r="L58" s="80"/>
      <c r="M58" s="282"/>
      <c r="N58" s="79"/>
      <c r="O58" s="79"/>
      <c r="P58" s="79"/>
      <c r="Q58" s="79"/>
      <c r="R58" s="79"/>
      <c r="S58" s="79"/>
      <c r="T58" s="79"/>
      <c r="U58" s="79"/>
      <c r="V58" s="79"/>
      <c r="W58" s="79"/>
      <c r="X58" s="79"/>
      <c r="Y58" s="79"/>
      <c r="Z58" s="79"/>
      <c r="AA58" s="79"/>
      <c r="AB58" s="218"/>
      <c r="AD58" s="221"/>
    </row>
    <row r="59" spans="2:30" s="54" customFormat="1" ht="15" customHeight="1">
      <c r="B59" s="83" t="str">
        <f>Assumptions!C60</f>
        <v xml:space="preserve">6100 - Special Purpose - OSPI Unassigned    </v>
      </c>
      <c r="C59" s="53"/>
      <c r="D59" s="227">
        <v>0</v>
      </c>
      <c r="E59" s="227">
        <v>0</v>
      </c>
      <c r="F59" s="227">
        <v>0</v>
      </c>
      <c r="G59" s="227">
        <v>0</v>
      </c>
      <c r="H59" s="227">
        <v>0</v>
      </c>
      <c r="I59" s="227">
        <v>0</v>
      </c>
      <c r="J59" s="232">
        <f t="shared" ref="J59:J67" si="29">SUM(D59:I59)</f>
        <v>0</v>
      </c>
      <c r="K59" s="220">
        <f>J59-'Start-Up Budget'!D59</f>
        <v>0</v>
      </c>
      <c r="L59" s="80"/>
      <c r="M59" s="282"/>
      <c r="N59" s="227">
        <v>0</v>
      </c>
      <c r="O59" s="227">
        <v>0</v>
      </c>
      <c r="P59" s="227">
        <v>0</v>
      </c>
      <c r="Q59" s="227">
        <v>0</v>
      </c>
      <c r="R59" s="227">
        <v>0</v>
      </c>
      <c r="S59" s="227">
        <v>0</v>
      </c>
      <c r="T59" s="227">
        <v>0</v>
      </c>
      <c r="U59" s="227">
        <v>0</v>
      </c>
      <c r="V59" s="227">
        <v>0</v>
      </c>
      <c r="W59" s="227">
        <v>0</v>
      </c>
      <c r="X59" s="227">
        <v>0</v>
      </c>
      <c r="Y59" s="227">
        <v>0</v>
      </c>
      <c r="Z59" s="227">
        <v>0</v>
      </c>
      <c r="AA59" s="232">
        <f t="shared" ref="AA59:AA67" si="30">SUM(N59:Z59)</f>
        <v>0</v>
      </c>
      <c r="AB59" s="218">
        <f>AA59-'5 YR Budget'!D59</f>
        <v>0</v>
      </c>
      <c r="AD59" s="221"/>
    </row>
    <row r="60" spans="2:30" s="54" customFormat="1" ht="15" customHeight="1">
      <c r="B60" s="83" t="str">
        <f>Assumptions!C61</f>
        <v xml:space="preserve">6198 - School Food Services     </v>
      </c>
      <c r="C60" s="53"/>
      <c r="D60" s="227">
        <v>0</v>
      </c>
      <c r="E60" s="227">
        <v>0</v>
      </c>
      <c r="F60" s="227">
        <v>0</v>
      </c>
      <c r="G60" s="227">
        <v>0</v>
      </c>
      <c r="H60" s="227">
        <v>0</v>
      </c>
      <c r="I60" s="227">
        <v>0</v>
      </c>
      <c r="J60" s="232">
        <f t="shared" si="29"/>
        <v>0</v>
      </c>
      <c r="K60" s="220">
        <f>J60-'Start-Up Budget'!D60</f>
        <v>0</v>
      </c>
      <c r="L60" s="89"/>
      <c r="M60" s="282"/>
      <c r="N60" s="227">
        <v>0</v>
      </c>
      <c r="O60" s="227">
        <v>0</v>
      </c>
      <c r="P60" s="227">
        <v>0</v>
      </c>
      <c r="Q60" s="227">
        <v>0</v>
      </c>
      <c r="R60" s="227">
        <v>0</v>
      </c>
      <c r="S60" s="227">
        <v>0</v>
      </c>
      <c r="T60" s="227">
        <v>0</v>
      </c>
      <c r="U60" s="227">
        <v>0</v>
      </c>
      <c r="V60" s="227">
        <v>0</v>
      </c>
      <c r="W60" s="227">
        <v>0</v>
      </c>
      <c r="X60" s="227">
        <v>0</v>
      </c>
      <c r="Y60" s="227">
        <v>0</v>
      </c>
      <c r="Z60" s="227">
        <v>0</v>
      </c>
      <c r="AA60" s="232">
        <f t="shared" si="30"/>
        <v>0</v>
      </c>
      <c r="AB60" s="218">
        <f>AA60-'5 YR Budget'!D60</f>
        <v>0</v>
      </c>
      <c r="AD60" s="221"/>
    </row>
    <row r="61" spans="2:30" s="54" customFormat="1" ht="15" customHeight="1">
      <c r="B61" s="328" t="str">
        <f>Assumptions!C62</f>
        <v>Free Breakfast Reimbursement</v>
      </c>
      <c r="C61" s="53"/>
      <c r="D61" s="227">
        <v>0</v>
      </c>
      <c r="E61" s="227">
        <v>0</v>
      </c>
      <c r="F61" s="227">
        <v>0</v>
      </c>
      <c r="G61" s="227">
        <v>0</v>
      </c>
      <c r="H61" s="227">
        <v>0</v>
      </c>
      <c r="I61" s="227">
        <v>0</v>
      </c>
      <c r="J61" s="232">
        <f t="shared" si="29"/>
        <v>0</v>
      </c>
      <c r="K61" s="220">
        <f>J61-'Start-Up Budget'!D61</f>
        <v>0</v>
      </c>
      <c r="L61" s="80"/>
      <c r="M61" s="282"/>
      <c r="N61" s="227">
        <v>0</v>
      </c>
      <c r="O61" s="227">
        <v>0</v>
      </c>
      <c r="P61" s="227">
        <v>0</v>
      </c>
      <c r="Q61" s="227">
        <v>0</v>
      </c>
      <c r="R61" s="227">
        <v>0</v>
      </c>
      <c r="S61" s="227">
        <v>0</v>
      </c>
      <c r="T61" s="227">
        <v>0</v>
      </c>
      <c r="U61" s="227">
        <v>0</v>
      </c>
      <c r="V61" s="227">
        <v>0</v>
      </c>
      <c r="W61" s="227">
        <v>0</v>
      </c>
      <c r="X61" s="227">
        <v>0</v>
      </c>
      <c r="Y61" s="227">
        <v>0</v>
      </c>
      <c r="Z61" s="227">
        <v>0</v>
      </c>
      <c r="AA61" s="232">
        <f t="shared" si="30"/>
        <v>0</v>
      </c>
      <c r="AB61" s="218">
        <f>AA61-'5 YR Budget'!D61</f>
        <v>0</v>
      </c>
      <c r="AD61" s="221"/>
    </row>
    <row r="62" spans="2:30" s="54" customFormat="1" ht="15" customHeight="1">
      <c r="B62" s="328" t="str">
        <f>Assumptions!C63</f>
        <v>Reduced Breakfast Reimbursement</v>
      </c>
      <c r="C62" s="53"/>
      <c r="D62" s="227">
        <v>0</v>
      </c>
      <c r="E62" s="227">
        <v>0</v>
      </c>
      <c r="F62" s="227">
        <v>0</v>
      </c>
      <c r="G62" s="227">
        <v>0</v>
      </c>
      <c r="H62" s="227">
        <v>0</v>
      </c>
      <c r="I62" s="227">
        <v>0</v>
      </c>
      <c r="J62" s="232">
        <f t="shared" si="29"/>
        <v>0</v>
      </c>
      <c r="K62" s="220">
        <f>J62-'Start-Up Budget'!D62</f>
        <v>0</v>
      </c>
      <c r="L62" s="80"/>
      <c r="M62" s="282"/>
      <c r="N62" s="227">
        <v>0</v>
      </c>
      <c r="O62" s="227">
        <v>0</v>
      </c>
      <c r="P62" s="227">
        <v>0</v>
      </c>
      <c r="Q62" s="227">
        <v>0</v>
      </c>
      <c r="R62" s="227">
        <v>0</v>
      </c>
      <c r="S62" s="227">
        <v>0</v>
      </c>
      <c r="T62" s="227">
        <v>0</v>
      </c>
      <c r="U62" s="227">
        <v>0</v>
      </c>
      <c r="V62" s="227">
        <v>0</v>
      </c>
      <c r="W62" s="227">
        <v>0</v>
      </c>
      <c r="X62" s="227">
        <v>0</v>
      </c>
      <c r="Y62" s="227">
        <v>0</v>
      </c>
      <c r="Z62" s="227">
        <v>0</v>
      </c>
      <c r="AA62" s="232">
        <f t="shared" si="30"/>
        <v>0</v>
      </c>
      <c r="AB62" s="218">
        <f>AA62-'5 YR Budget'!D62</f>
        <v>0</v>
      </c>
      <c r="AD62" s="221"/>
    </row>
    <row r="63" spans="2:30" s="54" customFormat="1" ht="15" customHeight="1">
      <c r="B63" s="328" t="str">
        <f>Assumptions!C64</f>
        <v>Paid Breakfast Reimbursement</v>
      </c>
      <c r="C63" s="53"/>
      <c r="D63" s="227">
        <v>0</v>
      </c>
      <c r="E63" s="227">
        <v>0</v>
      </c>
      <c r="F63" s="227">
        <v>0</v>
      </c>
      <c r="G63" s="227">
        <v>0</v>
      </c>
      <c r="H63" s="227">
        <v>0</v>
      </c>
      <c r="I63" s="227">
        <v>0</v>
      </c>
      <c r="J63" s="232">
        <f t="shared" si="29"/>
        <v>0</v>
      </c>
      <c r="K63" s="220">
        <f>J63-'Start-Up Budget'!D63</f>
        <v>0</v>
      </c>
      <c r="L63" s="80"/>
      <c r="M63" s="282"/>
      <c r="N63" s="227">
        <v>0</v>
      </c>
      <c r="O63" s="227">
        <v>0</v>
      </c>
      <c r="P63" s="227">
        <v>0</v>
      </c>
      <c r="Q63" s="227">
        <v>0</v>
      </c>
      <c r="R63" s="227">
        <v>0</v>
      </c>
      <c r="S63" s="227">
        <v>0</v>
      </c>
      <c r="T63" s="227">
        <v>0</v>
      </c>
      <c r="U63" s="227">
        <v>0</v>
      </c>
      <c r="V63" s="227">
        <v>0</v>
      </c>
      <c r="W63" s="227">
        <v>0</v>
      </c>
      <c r="X63" s="227">
        <v>0</v>
      </c>
      <c r="Y63" s="227">
        <v>0</v>
      </c>
      <c r="Z63" s="227">
        <v>0</v>
      </c>
      <c r="AA63" s="232">
        <f t="shared" si="30"/>
        <v>0</v>
      </c>
      <c r="AB63" s="218">
        <f>AA63-'5 YR Budget'!D63</f>
        <v>0</v>
      </c>
      <c r="AD63" s="221"/>
    </row>
    <row r="64" spans="2:30" s="54" customFormat="1" ht="15" customHeight="1">
      <c r="B64" s="328" t="str">
        <f>Assumptions!C65</f>
        <v xml:space="preserve">Free Lunch Reimbursement </v>
      </c>
      <c r="C64" s="53"/>
      <c r="D64" s="227">
        <v>0</v>
      </c>
      <c r="E64" s="227">
        <v>0</v>
      </c>
      <c r="F64" s="227">
        <v>0</v>
      </c>
      <c r="G64" s="227">
        <v>0</v>
      </c>
      <c r="H64" s="227">
        <v>0</v>
      </c>
      <c r="I64" s="227">
        <v>0</v>
      </c>
      <c r="J64" s="232">
        <f t="shared" si="29"/>
        <v>0</v>
      </c>
      <c r="K64" s="220">
        <f>J64-'Start-Up Budget'!D64</f>
        <v>0</v>
      </c>
      <c r="L64" s="80"/>
      <c r="M64" s="282"/>
      <c r="N64" s="227">
        <v>0</v>
      </c>
      <c r="O64" s="227">
        <v>0</v>
      </c>
      <c r="P64" s="227">
        <v>0</v>
      </c>
      <c r="Q64" s="227">
        <v>0</v>
      </c>
      <c r="R64" s="227">
        <v>0</v>
      </c>
      <c r="S64" s="227">
        <v>0</v>
      </c>
      <c r="T64" s="227">
        <v>0</v>
      </c>
      <c r="U64" s="227">
        <v>0</v>
      </c>
      <c r="V64" s="227">
        <v>0</v>
      </c>
      <c r="W64" s="227">
        <v>0</v>
      </c>
      <c r="X64" s="227">
        <v>0</v>
      </c>
      <c r="Y64" s="227">
        <v>0</v>
      </c>
      <c r="Z64" s="227">
        <v>0</v>
      </c>
      <c r="AA64" s="232">
        <f t="shared" si="30"/>
        <v>0</v>
      </c>
      <c r="AB64" s="218">
        <f>AA64-'5 YR Budget'!D64</f>
        <v>0</v>
      </c>
      <c r="AD64" s="221"/>
    </row>
    <row r="65" spans="2:30" s="54" customFormat="1" ht="15" customHeight="1">
      <c r="B65" s="328" t="str">
        <f>Assumptions!C66</f>
        <v>Reduced Lunch Reimbursement</v>
      </c>
      <c r="C65" s="53"/>
      <c r="D65" s="227">
        <v>0</v>
      </c>
      <c r="E65" s="227">
        <v>0</v>
      </c>
      <c r="F65" s="227">
        <v>0</v>
      </c>
      <c r="G65" s="227">
        <v>0</v>
      </c>
      <c r="H65" s="227">
        <v>0</v>
      </c>
      <c r="I65" s="227">
        <v>0</v>
      </c>
      <c r="J65" s="232">
        <f t="shared" si="29"/>
        <v>0</v>
      </c>
      <c r="K65" s="220">
        <f>J65-'Start-Up Budget'!D65</f>
        <v>0</v>
      </c>
      <c r="L65" s="80"/>
      <c r="M65" s="282"/>
      <c r="N65" s="227">
        <v>0</v>
      </c>
      <c r="O65" s="227">
        <v>0</v>
      </c>
      <c r="P65" s="227">
        <v>0</v>
      </c>
      <c r="Q65" s="227">
        <v>0</v>
      </c>
      <c r="R65" s="227">
        <v>0</v>
      </c>
      <c r="S65" s="227">
        <v>0</v>
      </c>
      <c r="T65" s="227">
        <v>0</v>
      </c>
      <c r="U65" s="227">
        <v>0</v>
      </c>
      <c r="V65" s="227">
        <v>0</v>
      </c>
      <c r="W65" s="227">
        <v>0</v>
      </c>
      <c r="X65" s="227">
        <v>0</v>
      </c>
      <c r="Y65" s="227">
        <v>0</v>
      </c>
      <c r="Z65" s="227">
        <v>0</v>
      </c>
      <c r="AA65" s="232">
        <f t="shared" si="30"/>
        <v>0</v>
      </c>
      <c r="AB65" s="218">
        <f>AA65-'5 YR Budget'!D65</f>
        <v>0</v>
      </c>
      <c r="AD65" s="221"/>
    </row>
    <row r="66" spans="2:30" s="54" customFormat="1" ht="15" customHeight="1">
      <c r="B66" s="328" t="str">
        <f>Assumptions!C67</f>
        <v>Paid Lunch Reimbursement</v>
      </c>
      <c r="C66" s="53"/>
      <c r="D66" s="227">
        <v>0</v>
      </c>
      <c r="E66" s="227">
        <v>0</v>
      </c>
      <c r="F66" s="227">
        <v>0</v>
      </c>
      <c r="G66" s="227">
        <v>0</v>
      </c>
      <c r="H66" s="227">
        <v>0</v>
      </c>
      <c r="I66" s="227">
        <v>0</v>
      </c>
      <c r="J66" s="232">
        <f t="shared" si="29"/>
        <v>0</v>
      </c>
      <c r="K66" s="220">
        <f>J66-'Start-Up Budget'!D66</f>
        <v>0</v>
      </c>
      <c r="L66" s="80"/>
      <c r="M66" s="282"/>
      <c r="N66" s="227">
        <v>0</v>
      </c>
      <c r="O66" s="227">
        <v>0</v>
      </c>
      <c r="P66" s="227">
        <v>0</v>
      </c>
      <c r="Q66" s="227">
        <v>0</v>
      </c>
      <c r="R66" s="227">
        <v>0</v>
      </c>
      <c r="S66" s="227">
        <v>0</v>
      </c>
      <c r="T66" s="227">
        <v>0</v>
      </c>
      <c r="U66" s="227">
        <v>0</v>
      </c>
      <c r="V66" s="227">
        <v>0</v>
      </c>
      <c r="W66" s="227">
        <v>0</v>
      </c>
      <c r="X66" s="227">
        <v>0</v>
      </c>
      <c r="Y66" s="227">
        <v>0</v>
      </c>
      <c r="Z66" s="227">
        <v>0</v>
      </c>
      <c r="AA66" s="232">
        <f t="shared" si="30"/>
        <v>0</v>
      </c>
      <c r="AB66" s="218">
        <f>AA66-'5 YR Budget'!D66</f>
        <v>0</v>
      </c>
      <c r="AD66" s="221"/>
    </row>
    <row r="67" spans="2:30" s="54" customFormat="1" ht="15" customHeight="1">
      <c r="B67" s="328" t="str">
        <f>Assumptions!C68</f>
        <v>Snack Reimbursement</v>
      </c>
      <c r="C67" s="53"/>
      <c r="D67" s="227">
        <v>0</v>
      </c>
      <c r="E67" s="227">
        <v>0</v>
      </c>
      <c r="F67" s="227">
        <v>0</v>
      </c>
      <c r="G67" s="227">
        <v>0</v>
      </c>
      <c r="H67" s="227">
        <v>0</v>
      </c>
      <c r="I67" s="227">
        <v>0</v>
      </c>
      <c r="J67" s="232">
        <f t="shared" si="29"/>
        <v>0</v>
      </c>
      <c r="K67" s="220">
        <f>J67-'Start-Up Budget'!D67</f>
        <v>0</v>
      </c>
      <c r="L67" s="80"/>
      <c r="M67" s="282"/>
      <c r="N67" s="227">
        <v>0</v>
      </c>
      <c r="O67" s="227">
        <v>0</v>
      </c>
      <c r="P67" s="227">
        <v>0</v>
      </c>
      <c r="Q67" s="227">
        <v>0</v>
      </c>
      <c r="R67" s="227">
        <v>0</v>
      </c>
      <c r="S67" s="227">
        <v>0</v>
      </c>
      <c r="T67" s="227">
        <v>0</v>
      </c>
      <c r="U67" s="227">
        <v>0</v>
      </c>
      <c r="V67" s="227">
        <v>0</v>
      </c>
      <c r="W67" s="227">
        <v>0</v>
      </c>
      <c r="X67" s="227">
        <v>0</v>
      </c>
      <c r="Y67" s="227">
        <v>0</v>
      </c>
      <c r="Z67" s="227">
        <v>0</v>
      </c>
      <c r="AA67" s="232">
        <f t="shared" si="30"/>
        <v>0</v>
      </c>
      <c r="AB67" s="218">
        <f>AA67-'5 YR Budget'!D67</f>
        <v>0</v>
      </c>
      <c r="AD67" s="221"/>
    </row>
    <row r="68" spans="2:30" s="54" customFormat="1" ht="15" customHeight="1">
      <c r="B68" s="83" t="str">
        <f>Assumptions!C69</f>
        <v xml:space="preserve">Total 6198 - School Food Services     </v>
      </c>
      <c r="C68" s="53"/>
      <c r="D68" s="334">
        <f>SUM(D60:D67)</f>
        <v>0</v>
      </c>
      <c r="E68" s="334">
        <f t="shared" ref="E68:J68" si="31">SUM(E60:E67)</f>
        <v>0</v>
      </c>
      <c r="F68" s="334">
        <f t="shared" si="31"/>
        <v>0</v>
      </c>
      <c r="G68" s="334">
        <f t="shared" si="31"/>
        <v>0</v>
      </c>
      <c r="H68" s="334">
        <f t="shared" si="31"/>
        <v>0</v>
      </c>
      <c r="I68" s="334">
        <f t="shared" si="31"/>
        <v>0</v>
      </c>
      <c r="J68" s="334">
        <f t="shared" si="31"/>
        <v>0</v>
      </c>
      <c r="K68" s="220">
        <f>J68-'Start-Up Budget'!D68</f>
        <v>0</v>
      </c>
      <c r="L68" s="80"/>
      <c r="M68" s="282"/>
      <c r="N68" s="334">
        <f t="shared" ref="N68:AA68" si="32">SUM(N60:N67)</f>
        <v>0</v>
      </c>
      <c r="O68" s="334">
        <f t="shared" si="32"/>
        <v>0</v>
      </c>
      <c r="P68" s="334">
        <f t="shared" si="32"/>
        <v>0</v>
      </c>
      <c r="Q68" s="334">
        <f t="shared" si="32"/>
        <v>0</v>
      </c>
      <c r="R68" s="334">
        <f t="shared" si="32"/>
        <v>0</v>
      </c>
      <c r="S68" s="334">
        <f t="shared" si="32"/>
        <v>0</v>
      </c>
      <c r="T68" s="334">
        <f t="shared" si="32"/>
        <v>0</v>
      </c>
      <c r="U68" s="334">
        <f t="shared" si="32"/>
        <v>0</v>
      </c>
      <c r="V68" s="334">
        <f t="shared" si="32"/>
        <v>0</v>
      </c>
      <c r="W68" s="334">
        <f t="shared" si="32"/>
        <v>0</v>
      </c>
      <c r="X68" s="334">
        <f t="shared" si="32"/>
        <v>0</v>
      </c>
      <c r="Y68" s="334">
        <f t="shared" si="32"/>
        <v>0</v>
      </c>
      <c r="Z68" s="334">
        <f t="shared" si="32"/>
        <v>0</v>
      </c>
      <c r="AA68" s="334">
        <f t="shared" si="32"/>
        <v>0</v>
      </c>
      <c r="AB68" s="218">
        <f>AA68-'5 YR Budget'!D68</f>
        <v>0</v>
      </c>
      <c r="AD68" s="221"/>
    </row>
    <row r="69" spans="2:30" s="54" customFormat="1" ht="15" customHeight="1">
      <c r="B69" s="83" t="str">
        <f>Assumptions!C70</f>
        <v>Custom FEDERAL REVENUE - SPECIAL PURPOSE</v>
      </c>
      <c r="C69" s="53"/>
      <c r="D69" s="227">
        <v>0</v>
      </c>
      <c r="E69" s="227">
        <v>0</v>
      </c>
      <c r="F69" s="227">
        <v>0</v>
      </c>
      <c r="G69" s="227">
        <v>0</v>
      </c>
      <c r="H69" s="227">
        <v>0</v>
      </c>
      <c r="I69" s="227">
        <v>0</v>
      </c>
      <c r="J69" s="232">
        <f>SUM(D69:I69)</f>
        <v>0</v>
      </c>
      <c r="K69" s="220">
        <f>J69-'Start-Up Budget'!D69</f>
        <v>0</v>
      </c>
      <c r="L69" s="80"/>
      <c r="M69" s="282"/>
      <c r="N69" s="227">
        <v>0</v>
      </c>
      <c r="O69" s="227">
        <v>0</v>
      </c>
      <c r="P69" s="227">
        <v>0</v>
      </c>
      <c r="Q69" s="227">
        <v>0</v>
      </c>
      <c r="R69" s="227">
        <v>0</v>
      </c>
      <c r="S69" s="227">
        <v>0</v>
      </c>
      <c r="T69" s="227">
        <v>0</v>
      </c>
      <c r="U69" s="227">
        <v>0</v>
      </c>
      <c r="V69" s="227">
        <v>0</v>
      </c>
      <c r="W69" s="227">
        <v>0</v>
      </c>
      <c r="X69" s="227">
        <v>0</v>
      </c>
      <c r="Y69" s="227">
        <v>0</v>
      </c>
      <c r="Z69" s="227">
        <v>0</v>
      </c>
      <c r="AA69" s="232">
        <f>SUM(N69:Z69)</f>
        <v>0</v>
      </c>
      <c r="AB69" s="218">
        <f>AA69-'5 YR Budget'!D69</f>
        <v>0</v>
      </c>
      <c r="AD69" s="221"/>
    </row>
    <row r="70" spans="2:30" s="54" customFormat="1" ht="15" customHeight="1" thickBot="1">
      <c r="B70" s="81" t="str">
        <f>Assumptions!C71</f>
        <v>TOTAL FEDERAL REVENUE - SPECIAL PURPOSE</v>
      </c>
      <c r="C70" s="53"/>
      <c r="D70" s="307">
        <f>SUM(D59,D68,D69)</f>
        <v>0</v>
      </c>
      <c r="E70" s="307">
        <f t="shared" ref="E70:J70" si="33">SUM(E59,E68,E69)</f>
        <v>0</v>
      </c>
      <c r="F70" s="307">
        <f t="shared" si="33"/>
        <v>0</v>
      </c>
      <c r="G70" s="307">
        <f t="shared" si="33"/>
        <v>0</v>
      </c>
      <c r="H70" s="307">
        <f t="shared" si="33"/>
        <v>0</v>
      </c>
      <c r="I70" s="307">
        <f t="shared" si="33"/>
        <v>0</v>
      </c>
      <c r="J70" s="307">
        <f t="shared" si="33"/>
        <v>0</v>
      </c>
      <c r="K70" s="220">
        <f>J70-'Start-Up Budget'!D70</f>
        <v>0</v>
      </c>
      <c r="L70" s="80"/>
      <c r="M70" s="282"/>
      <c r="N70" s="307">
        <f t="shared" ref="N70:AA70" si="34">SUM(N59,N68,N69)</f>
        <v>0</v>
      </c>
      <c r="O70" s="307">
        <f t="shared" si="34"/>
        <v>0</v>
      </c>
      <c r="P70" s="307">
        <f t="shared" si="34"/>
        <v>0</v>
      </c>
      <c r="Q70" s="307">
        <f t="shared" si="34"/>
        <v>0</v>
      </c>
      <c r="R70" s="307">
        <f t="shared" si="34"/>
        <v>0</v>
      </c>
      <c r="S70" s="307">
        <f t="shared" si="34"/>
        <v>0</v>
      </c>
      <c r="T70" s="307">
        <f t="shared" si="34"/>
        <v>0</v>
      </c>
      <c r="U70" s="307">
        <f t="shared" si="34"/>
        <v>0</v>
      </c>
      <c r="V70" s="307">
        <f t="shared" si="34"/>
        <v>0</v>
      </c>
      <c r="W70" s="307">
        <f t="shared" si="34"/>
        <v>0</v>
      </c>
      <c r="X70" s="307">
        <f t="shared" si="34"/>
        <v>0</v>
      </c>
      <c r="Y70" s="307">
        <f t="shared" si="34"/>
        <v>0</v>
      </c>
      <c r="Z70" s="307">
        <f t="shared" si="34"/>
        <v>0</v>
      </c>
      <c r="AA70" s="307">
        <f t="shared" si="34"/>
        <v>0</v>
      </c>
      <c r="AB70" s="218">
        <f>AA70-'5 YR Budget'!D70</f>
        <v>0</v>
      </c>
      <c r="AD70" s="221"/>
    </row>
    <row r="71" spans="2:30" s="54" customFormat="1" ht="6" customHeight="1" thickTop="1">
      <c r="B71" s="90"/>
      <c r="C71" s="53"/>
      <c r="D71" s="79"/>
      <c r="E71" s="79"/>
      <c r="F71" s="79"/>
      <c r="G71" s="79"/>
      <c r="H71" s="79"/>
      <c r="I71" s="79"/>
      <c r="J71" s="79"/>
      <c r="K71" s="220"/>
      <c r="L71" s="80"/>
      <c r="M71" s="282"/>
      <c r="N71" s="79"/>
      <c r="O71" s="79"/>
      <c r="P71" s="79"/>
      <c r="Q71" s="79"/>
      <c r="R71" s="79"/>
      <c r="S71" s="79"/>
      <c r="T71" s="79"/>
      <c r="U71" s="79"/>
      <c r="V71" s="79"/>
      <c r="W71" s="79"/>
      <c r="X71" s="79"/>
      <c r="Y71" s="79"/>
      <c r="Z71" s="79"/>
      <c r="AA71" s="79"/>
      <c r="AB71" s="218"/>
      <c r="AD71" s="221"/>
    </row>
    <row r="72" spans="2:30" s="54" customFormat="1" ht="15" customHeight="1">
      <c r="B72" s="81" t="str">
        <f>Assumptions!C73</f>
        <v>7000 - OTHER SCHOOL DISTRICTS</v>
      </c>
      <c r="C72" s="53"/>
      <c r="D72" s="79"/>
      <c r="E72" s="79"/>
      <c r="F72" s="79"/>
      <c r="G72" s="79"/>
      <c r="H72" s="79"/>
      <c r="I72" s="79"/>
      <c r="J72" s="79"/>
      <c r="K72" s="220"/>
      <c r="L72" s="80"/>
      <c r="M72" s="282"/>
      <c r="N72" s="79"/>
      <c r="O72" s="79"/>
      <c r="P72" s="79"/>
      <c r="Q72" s="79"/>
      <c r="R72" s="79"/>
      <c r="S72" s="79"/>
      <c r="T72" s="79"/>
      <c r="U72" s="79"/>
      <c r="V72" s="79"/>
      <c r="W72" s="79"/>
      <c r="X72" s="79"/>
      <c r="Y72" s="79"/>
      <c r="Z72" s="79"/>
      <c r="AA72" s="79"/>
      <c r="AB72" s="218"/>
      <c r="AD72" s="221"/>
    </row>
    <row r="73" spans="2:30" s="54" customFormat="1" ht="15" customHeight="1">
      <c r="B73" s="83" t="str">
        <f>Assumptions!C74</f>
        <v xml:space="preserve">7100 - Program Participation, Unassigned </v>
      </c>
      <c r="C73" s="53"/>
      <c r="D73" s="227">
        <v>0</v>
      </c>
      <c r="E73" s="227">
        <v>0</v>
      </c>
      <c r="F73" s="227">
        <v>0</v>
      </c>
      <c r="G73" s="227">
        <v>0</v>
      </c>
      <c r="H73" s="227">
        <v>0</v>
      </c>
      <c r="I73" s="227">
        <v>0</v>
      </c>
      <c r="J73" s="232">
        <f>SUM(D73:I73)</f>
        <v>0</v>
      </c>
      <c r="K73" s="220">
        <f>J73-'Start-Up Budget'!D73</f>
        <v>0</v>
      </c>
      <c r="L73" s="80"/>
      <c r="M73" s="282"/>
      <c r="N73" s="227">
        <v>0</v>
      </c>
      <c r="O73" s="227">
        <v>0</v>
      </c>
      <c r="P73" s="227">
        <v>0</v>
      </c>
      <c r="Q73" s="227">
        <v>0</v>
      </c>
      <c r="R73" s="227">
        <v>0</v>
      </c>
      <c r="S73" s="227">
        <v>0</v>
      </c>
      <c r="T73" s="227">
        <v>0</v>
      </c>
      <c r="U73" s="227">
        <v>0</v>
      </c>
      <c r="V73" s="227">
        <v>0</v>
      </c>
      <c r="W73" s="227">
        <v>0</v>
      </c>
      <c r="X73" s="227">
        <v>0</v>
      </c>
      <c r="Y73" s="227">
        <v>0</v>
      </c>
      <c r="Z73" s="227">
        <v>0</v>
      </c>
      <c r="AA73" s="232">
        <f>SUM(N73:Z73)</f>
        <v>0</v>
      </c>
      <c r="AB73" s="218">
        <f>AA73-'5 YR Budget'!D73</f>
        <v>0</v>
      </c>
      <c r="AD73" s="221"/>
    </row>
    <row r="74" spans="2:30" s="54" customFormat="1" ht="15" customHeight="1">
      <c r="B74" s="83" t="str">
        <f>Assumptions!C75</f>
        <v>Custom OTHER SCHOOL DISTRICTS</v>
      </c>
      <c r="C74" s="53"/>
      <c r="D74" s="227">
        <v>0</v>
      </c>
      <c r="E74" s="227">
        <v>0</v>
      </c>
      <c r="F74" s="227">
        <v>0</v>
      </c>
      <c r="G74" s="227">
        <v>0</v>
      </c>
      <c r="H74" s="227">
        <v>0</v>
      </c>
      <c r="I74" s="227">
        <v>0</v>
      </c>
      <c r="J74" s="232">
        <f>SUM(D74:I74)</f>
        <v>0</v>
      </c>
      <c r="K74" s="220">
        <f>J74-'Start-Up Budget'!D74</f>
        <v>0</v>
      </c>
      <c r="L74" s="80"/>
      <c r="M74" s="282"/>
      <c r="N74" s="227">
        <v>0</v>
      </c>
      <c r="O74" s="227">
        <v>0</v>
      </c>
      <c r="P74" s="227">
        <v>0</v>
      </c>
      <c r="Q74" s="227">
        <v>0</v>
      </c>
      <c r="R74" s="227">
        <v>0</v>
      </c>
      <c r="S74" s="227">
        <v>0</v>
      </c>
      <c r="T74" s="227">
        <v>0</v>
      </c>
      <c r="U74" s="227">
        <v>0</v>
      </c>
      <c r="V74" s="227">
        <v>0</v>
      </c>
      <c r="W74" s="227">
        <v>0</v>
      </c>
      <c r="X74" s="227">
        <v>0</v>
      </c>
      <c r="Y74" s="227">
        <v>0</v>
      </c>
      <c r="Z74" s="227">
        <v>0</v>
      </c>
      <c r="AA74" s="232">
        <f>SUM(N74:Z74)</f>
        <v>0</v>
      </c>
      <c r="AB74" s="218">
        <f>AA74-'5 YR Budget'!D74</f>
        <v>0</v>
      </c>
      <c r="AD74" s="221"/>
    </row>
    <row r="75" spans="2:30" s="54" customFormat="1" ht="15" customHeight="1" thickBot="1">
      <c r="B75" s="81" t="str">
        <f>Assumptions!C76</f>
        <v>TOTAL OTHER SCHOOL DISTRICTS</v>
      </c>
      <c r="C75" s="53"/>
      <c r="D75" s="307">
        <f>SUM(D73:D74)</f>
        <v>0</v>
      </c>
      <c r="E75" s="307">
        <f t="shared" ref="E75:J75" si="35">SUM(E73:E74)</f>
        <v>0</v>
      </c>
      <c r="F75" s="307">
        <f t="shared" si="35"/>
        <v>0</v>
      </c>
      <c r="G75" s="307">
        <f t="shared" si="35"/>
        <v>0</v>
      </c>
      <c r="H75" s="307">
        <f t="shared" si="35"/>
        <v>0</v>
      </c>
      <c r="I75" s="307">
        <f t="shared" si="35"/>
        <v>0</v>
      </c>
      <c r="J75" s="307">
        <f t="shared" si="35"/>
        <v>0</v>
      </c>
      <c r="K75" s="220">
        <f>J75-'Start-Up Budget'!D75</f>
        <v>0</v>
      </c>
      <c r="L75" s="80"/>
      <c r="M75" s="282"/>
      <c r="N75" s="307">
        <f t="shared" ref="N75:AA75" si="36">SUM(N73:N74)</f>
        <v>0</v>
      </c>
      <c r="O75" s="307">
        <f t="shared" si="36"/>
        <v>0</v>
      </c>
      <c r="P75" s="307">
        <f t="shared" si="36"/>
        <v>0</v>
      </c>
      <c r="Q75" s="307">
        <f t="shared" si="36"/>
        <v>0</v>
      </c>
      <c r="R75" s="307">
        <f t="shared" si="36"/>
        <v>0</v>
      </c>
      <c r="S75" s="307">
        <f t="shared" si="36"/>
        <v>0</v>
      </c>
      <c r="T75" s="307">
        <f t="shared" si="36"/>
        <v>0</v>
      </c>
      <c r="U75" s="307">
        <f t="shared" si="36"/>
        <v>0</v>
      </c>
      <c r="V75" s="307">
        <f t="shared" si="36"/>
        <v>0</v>
      </c>
      <c r="W75" s="307">
        <f t="shared" si="36"/>
        <v>0</v>
      </c>
      <c r="X75" s="307">
        <f t="shared" si="36"/>
        <v>0</v>
      </c>
      <c r="Y75" s="307">
        <f t="shared" si="36"/>
        <v>0</v>
      </c>
      <c r="Z75" s="307">
        <f t="shared" si="36"/>
        <v>0</v>
      </c>
      <c r="AA75" s="307">
        <f t="shared" si="36"/>
        <v>0</v>
      </c>
      <c r="AB75" s="218">
        <f>AA75-'5 YR Budget'!D75</f>
        <v>0</v>
      </c>
      <c r="AD75" s="221"/>
    </row>
    <row r="76" spans="2:30" s="54" customFormat="1" ht="6" customHeight="1" thickTop="1">
      <c r="B76" s="90"/>
      <c r="C76" s="53"/>
      <c r="D76" s="79"/>
      <c r="E76" s="79"/>
      <c r="F76" s="79"/>
      <c r="G76" s="79"/>
      <c r="H76" s="79"/>
      <c r="I76" s="79"/>
      <c r="J76" s="79"/>
      <c r="K76" s="220"/>
      <c r="L76" s="80"/>
      <c r="M76" s="282"/>
      <c r="N76" s="79"/>
      <c r="O76" s="79"/>
      <c r="P76" s="79"/>
      <c r="Q76" s="79"/>
      <c r="R76" s="79"/>
      <c r="S76" s="79"/>
      <c r="T76" s="79"/>
      <c r="U76" s="79"/>
      <c r="V76" s="79"/>
      <c r="W76" s="79"/>
      <c r="X76" s="79"/>
      <c r="Y76" s="79"/>
      <c r="Z76" s="79"/>
      <c r="AA76" s="79"/>
      <c r="AB76" s="218"/>
      <c r="AD76" s="221"/>
    </row>
    <row r="77" spans="2:30" s="54" customFormat="1" ht="15" customHeight="1">
      <c r="B77" s="81" t="str">
        <f>Assumptions!C78</f>
        <v>8000 - OTHER ENTITIES</v>
      </c>
      <c r="C77" s="53"/>
      <c r="D77" s="79"/>
      <c r="E77" s="79"/>
      <c r="F77" s="79"/>
      <c r="G77" s="79"/>
      <c r="H77" s="79"/>
      <c r="I77" s="79"/>
      <c r="J77" s="79"/>
      <c r="K77" s="235"/>
      <c r="L77" s="80"/>
      <c r="M77" s="282"/>
      <c r="N77" s="79"/>
      <c r="O77" s="79"/>
      <c r="P77" s="79"/>
      <c r="Q77" s="79"/>
      <c r="R77" s="79"/>
      <c r="S77" s="79"/>
      <c r="T77" s="79"/>
      <c r="U77" s="79"/>
      <c r="V77" s="79"/>
      <c r="W77" s="79"/>
      <c r="X77" s="79"/>
      <c r="Y77" s="79"/>
      <c r="Z77" s="79"/>
      <c r="AA77" s="79"/>
      <c r="AB77" s="88"/>
      <c r="AD77" s="221"/>
    </row>
    <row r="78" spans="2:30" s="54" customFormat="1" ht="15" customHeight="1">
      <c r="B78" s="83" t="str">
        <f>Assumptions!C79</f>
        <v xml:space="preserve">8100 - Governmental Entities      </v>
      </c>
      <c r="C78" s="53"/>
      <c r="D78" s="227">
        <v>0</v>
      </c>
      <c r="E78" s="227">
        <v>0</v>
      </c>
      <c r="F78" s="227">
        <v>0</v>
      </c>
      <c r="G78" s="227">
        <v>0</v>
      </c>
      <c r="H78" s="227">
        <v>0</v>
      </c>
      <c r="I78" s="227">
        <v>0</v>
      </c>
      <c r="J78" s="232">
        <f>SUM(D78:I78)</f>
        <v>0</v>
      </c>
      <c r="K78" s="220">
        <f>J78-'Start-Up Budget'!D78</f>
        <v>0</v>
      </c>
      <c r="L78" s="80"/>
      <c r="M78" s="282"/>
      <c r="N78" s="227">
        <v>0</v>
      </c>
      <c r="O78" s="227">
        <v>0</v>
      </c>
      <c r="P78" s="227">
        <v>0</v>
      </c>
      <c r="Q78" s="227">
        <v>0</v>
      </c>
      <c r="R78" s="227">
        <v>0</v>
      </c>
      <c r="S78" s="227">
        <v>0</v>
      </c>
      <c r="T78" s="227">
        <v>0</v>
      </c>
      <c r="U78" s="227">
        <v>0</v>
      </c>
      <c r="V78" s="227">
        <v>0</v>
      </c>
      <c r="W78" s="227">
        <v>0</v>
      </c>
      <c r="X78" s="227">
        <v>0</v>
      </c>
      <c r="Y78" s="227">
        <v>0</v>
      </c>
      <c r="Z78" s="227">
        <v>0</v>
      </c>
      <c r="AA78" s="232">
        <f>SUM(N78:Z78)</f>
        <v>0</v>
      </c>
      <c r="AB78" s="218">
        <f>AA78-'5 YR Budget'!D78</f>
        <v>0</v>
      </c>
      <c r="AD78" s="221"/>
    </row>
    <row r="79" spans="2:30" s="54" customFormat="1" ht="15" customHeight="1">
      <c r="B79" s="83" t="str">
        <f>Assumptions!C80</f>
        <v xml:space="preserve">8200 - Private Foundations  </v>
      </c>
      <c r="C79" s="53"/>
      <c r="D79" s="227">
        <v>0</v>
      </c>
      <c r="E79" s="227">
        <v>0</v>
      </c>
      <c r="F79" s="227">
        <v>0</v>
      </c>
      <c r="G79" s="227">
        <v>0</v>
      </c>
      <c r="H79" s="227">
        <v>0</v>
      </c>
      <c r="I79" s="227">
        <v>0</v>
      </c>
      <c r="J79" s="232">
        <f>SUM(D79:I79)</f>
        <v>0</v>
      </c>
      <c r="K79" s="220">
        <f>J79-'Start-Up Budget'!D79</f>
        <v>0</v>
      </c>
      <c r="L79" s="80"/>
      <c r="M79" s="282"/>
      <c r="N79" s="227">
        <v>0</v>
      </c>
      <c r="O79" s="227">
        <v>0</v>
      </c>
      <c r="P79" s="227">
        <v>0</v>
      </c>
      <c r="Q79" s="227">
        <v>0</v>
      </c>
      <c r="R79" s="227">
        <v>0</v>
      </c>
      <c r="S79" s="227">
        <v>0</v>
      </c>
      <c r="T79" s="227">
        <v>0</v>
      </c>
      <c r="U79" s="227">
        <v>0</v>
      </c>
      <c r="V79" s="227">
        <v>0</v>
      </c>
      <c r="W79" s="227">
        <v>0</v>
      </c>
      <c r="X79" s="227">
        <v>0</v>
      </c>
      <c r="Y79" s="227">
        <v>0</v>
      </c>
      <c r="Z79" s="227">
        <v>0</v>
      </c>
      <c r="AA79" s="232">
        <f>SUM(N79:Z79)</f>
        <v>0</v>
      </c>
      <c r="AB79" s="218">
        <f>AA79-'5 YR Budget'!D79</f>
        <v>0</v>
      </c>
      <c r="AD79" s="221"/>
    </row>
    <row r="80" spans="2:30" s="54" customFormat="1" ht="15" customHeight="1">
      <c r="B80" s="83" t="str">
        <f>Assumptions!C81</f>
        <v xml:space="preserve">8500 - Educational Service Districts   </v>
      </c>
      <c r="C80" s="53"/>
      <c r="D80" s="227">
        <v>0</v>
      </c>
      <c r="E80" s="227">
        <v>0</v>
      </c>
      <c r="F80" s="227">
        <v>0</v>
      </c>
      <c r="G80" s="227">
        <v>0</v>
      </c>
      <c r="H80" s="227">
        <v>0</v>
      </c>
      <c r="I80" s="227">
        <v>0</v>
      </c>
      <c r="J80" s="232">
        <f>SUM(D80:I80)</f>
        <v>0</v>
      </c>
      <c r="K80" s="220">
        <f>J80-'Start-Up Budget'!D80</f>
        <v>0</v>
      </c>
      <c r="L80" s="80"/>
      <c r="M80" s="282"/>
      <c r="N80" s="227">
        <v>0</v>
      </c>
      <c r="O80" s="227">
        <v>0</v>
      </c>
      <c r="P80" s="227">
        <v>0</v>
      </c>
      <c r="Q80" s="227">
        <v>0</v>
      </c>
      <c r="R80" s="227">
        <v>0</v>
      </c>
      <c r="S80" s="227">
        <v>0</v>
      </c>
      <c r="T80" s="227">
        <v>0</v>
      </c>
      <c r="U80" s="227">
        <v>0</v>
      </c>
      <c r="V80" s="227">
        <v>0</v>
      </c>
      <c r="W80" s="227">
        <v>0</v>
      </c>
      <c r="X80" s="227">
        <v>0</v>
      </c>
      <c r="Y80" s="227">
        <v>0</v>
      </c>
      <c r="Z80" s="227">
        <v>0</v>
      </c>
      <c r="AA80" s="232">
        <f>SUM(N80:Z80)</f>
        <v>0</v>
      </c>
      <c r="AB80" s="218">
        <f>AA80-'5 YR Budget'!D80</f>
        <v>0</v>
      </c>
      <c r="AD80" s="221"/>
    </row>
    <row r="81" spans="2:30" s="54" customFormat="1" ht="15" customHeight="1">
      <c r="B81" s="83" t="str">
        <f>Assumptions!C82</f>
        <v>Custom OTHER ENTITIES</v>
      </c>
      <c r="C81" s="53"/>
      <c r="D81" s="227">
        <v>0</v>
      </c>
      <c r="E81" s="227">
        <v>0</v>
      </c>
      <c r="F81" s="227">
        <v>0</v>
      </c>
      <c r="G81" s="227">
        <v>0</v>
      </c>
      <c r="H81" s="227">
        <v>0</v>
      </c>
      <c r="I81" s="227">
        <v>0</v>
      </c>
      <c r="J81" s="232">
        <f>SUM(D81:I81)</f>
        <v>0</v>
      </c>
      <c r="K81" s="220">
        <f>J81-'Start-Up Budget'!D81</f>
        <v>0</v>
      </c>
      <c r="L81" s="80"/>
      <c r="M81" s="282"/>
      <c r="N81" s="227">
        <v>0</v>
      </c>
      <c r="O81" s="227">
        <v>0</v>
      </c>
      <c r="P81" s="227">
        <v>0</v>
      </c>
      <c r="Q81" s="227">
        <v>0</v>
      </c>
      <c r="R81" s="227">
        <v>0</v>
      </c>
      <c r="S81" s="227">
        <v>0</v>
      </c>
      <c r="T81" s="227">
        <v>0</v>
      </c>
      <c r="U81" s="227">
        <v>0</v>
      </c>
      <c r="V81" s="227">
        <v>0</v>
      </c>
      <c r="W81" s="227">
        <v>0</v>
      </c>
      <c r="X81" s="227">
        <v>0</v>
      </c>
      <c r="Y81" s="227">
        <v>0</v>
      </c>
      <c r="Z81" s="227">
        <v>0</v>
      </c>
      <c r="AA81" s="232">
        <f>SUM(N81:Z81)</f>
        <v>0</v>
      </c>
      <c r="AB81" s="218">
        <f>AA81-'5 YR Budget'!D81</f>
        <v>0</v>
      </c>
      <c r="AD81" s="221"/>
    </row>
    <row r="82" spans="2:30" s="54" customFormat="1" ht="15" customHeight="1" thickBot="1">
      <c r="B82" s="81" t="str">
        <f>Assumptions!C83</f>
        <v>TOTAL OTHER ENTITIES</v>
      </c>
      <c r="C82" s="53"/>
      <c r="D82" s="307">
        <f>SUM(D78:D81)</f>
        <v>0</v>
      </c>
      <c r="E82" s="307">
        <f t="shared" ref="E82:J82" si="37">SUM(E78:E81)</f>
        <v>0</v>
      </c>
      <c r="F82" s="307">
        <f t="shared" si="37"/>
        <v>0</v>
      </c>
      <c r="G82" s="307">
        <f t="shared" si="37"/>
        <v>0</v>
      </c>
      <c r="H82" s="307">
        <f t="shared" si="37"/>
        <v>0</v>
      </c>
      <c r="I82" s="307">
        <f t="shared" si="37"/>
        <v>0</v>
      </c>
      <c r="J82" s="307">
        <f t="shared" si="37"/>
        <v>0</v>
      </c>
      <c r="K82" s="220">
        <f>J82-'Start-Up Budget'!D82</f>
        <v>0</v>
      </c>
      <c r="L82" s="80"/>
      <c r="M82" s="282"/>
      <c r="N82" s="307">
        <f t="shared" ref="N82:AA82" si="38">SUM(N78:N81)</f>
        <v>0</v>
      </c>
      <c r="O82" s="307">
        <f t="shared" si="38"/>
        <v>0</v>
      </c>
      <c r="P82" s="307">
        <f t="shared" si="38"/>
        <v>0</v>
      </c>
      <c r="Q82" s="307">
        <f t="shared" si="38"/>
        <v>0</v>
      </c>
      <c r="R82" s="307">
        <f t="shared" si="38"/>
        <v>0</v>
      </c>
      <c r="S82" s="307">
        <f t="shared" si="38"/>
        <v>0</v>
      </c>
      <c r="T82" s="307">
        <f t="shared" si="38"/>
        <v>0</v>
      </c>
      <c r="U82" s="307">
        <f t="shared" si="38"/>
        <v>0</v>
      </c>
      <c r="V82" s="307">
        <f t="shared" si="38"/>
        <v>0</v>
      </c>
      <c r="W82" s="307">
        <f t="shared" si="38"/>
        <v>0</v>
      </c>
      <c r="X82" s="307">
        <f t="shared" si="38"/>
        <v>0</v>
      </c>
      <c r="Y82" s="307">
        <f t="shared" si="38"/>
        <v>0</v>
      </c>
      <c r="Z82" s="307">
        <f t="shared" si="38"/>
        <v>0</v>
      </c>
      <c r="AA82" s="307">
        <f t="shared" si="38"/>
        <v>0</v>
      </c>
      <c r="AB82" s="218">
        <f>AA82-'5 YR Budget'!D82</f>
        <v>0</v>
      </c>
      <c r="AD82" s="221"/>
    </row>
    <row r="83" spans="2:30" s="54" customFormat="1" ht="6" customHeight="1" thickTop="1">
      <c r="B83" s="90"/>
      <c r="C83" s="53"/>
      <c r="D83" s="79"/>
      <c r="E83" s="79"/>
      <c r="F83" s="79"/>
      <c r="G83" s="79"/>
      <c r="H83" s="79"/>
      <c r="I83" s="79"/>
      <c r="J83" s="79"/>
      <c r="K83" s="220">
        <f>J83-'Start-Up Budget'!D82</f>
        <v>0</v>
      </c>
      <c r="L83" s="80"/>
      <c r="M83" s="282"/>
      <c r="N83" s="79"/>
      <c r="O83" s="79"/>
      <c r="P83" s="79"/>
      <c r="Q83" s="79"/>
      <c r="R83" s="79"/>
      <c r="S83" s="79"/>
      <c r="T83" s="79"/>
      <c r="U83" s="79"/>
      <c r="V83" s="79"/>
      <c r="W83" s="79"/>
      <c r="X83" s="79"/>
      <c r="Y83" s="79"/>
      <c r="Z83" s="79"/>
      <c r="AA83" s="79"/>
      <c r="AB83" s="218"/>
      <c r="AD83" s="221"/>
    </row>
    <row r="84" spans="2:30" s="54" customFormat="1" ht="15" customHeight="1">
      <c r="B84" s="81" t="str">
        <f>Assumptions!C85</f>
        <v>9000 - OTHER FINANCING SOURCES</v>
      </c>
      <c r="C84" s="53"/>
      <c r="D84" s="79"/>
      <c r="E84" s="79"/>
      <c r="F84" s="79"/>
      <c r="G84" s="79"/>
      <c r="H84" s="79"/>
      <c r="I84" s="79"/>
      <c r="J84" s="79"/>
      <c r="K84" s="220">
        <f>J84-'Start-Up Budget'!D83</f>
        <v>0</v>
      </c>
      <c r="L84" s="80"/>
      <c r="M84" s="282"/>
      <c r="N84" s="79"/>
      <c r="O84" s="79"/>
      <c r="P84" s="79"/>
      <c r="Q84" s="79"/>
      <c r="R84" s="79"/>
      <c r="S84" s="79"/>
      <c r="T84" s="79"/>
      <c r="U84" s="79"/>
      <c r="V84" s="79"/>
      <c r="W84" s="79"/>
      <c r="X84" s="79"/>
      <c r="Y84" s="79"/>
      <c r="Z84" s="79"/>
      <c r="AA84" s="79"/>
      <c r="AB84" s="218"/>
      <c r="AD84" s="221"/>
    </row>
    <row r="85" spans="2:30" s="54" customFormat="1" ht="15" customHeight="1">
      <c r="B85" s="83" t="str">
        <f>Assumptions!C86</f>
        <v xml:space="preserve">9500 - Long-Term Financing      </v>
      </c>
      <c r="C85" s="53"/>
      <c r="D85" s="227">
        <v>0</v>
      </c>
      <c r="E85" s="227">
        <v>0</v>
      </c>
      <c r="F85" s="227">
        <v>0</v>
      </c>
      <c r="G85" s="227">
        <v>0</v>
      </c>
      <c r="H85" s="227">
        <v>0</v>
      </c>
      <c r="I85" s="227">
        <v>0</v>
      </c>
      <c r="J85" s="232">
        <f>SUM(D85:I85)</f>
        <v>0</v>
      </c>
      <c r="K85" s="220">
        <f>J85-'Start-Up Budget'!D85</f>
        <v>0</v>
      </c>
      <c r="L85" s="80"/>
      <c r="M85" s="282"/>
      <c r="N85" s="227">
        <v>0</v>
      </c>
      <c r="O85" s="227">
        <v>0</v>
      </c>
      <c r="P85" s="227">
        <v>0</v>
      </c>
      <c r="Q85" s="227">
        <v>0</v>
      </c>
      <c r="R85" s="227">
        <v>0</v>
      </c>
      <c r="S85" s="227">
        <v>0</v>
      </c>
      <c r="T85" s="227">
        <v>0</v>
      </c>
      <c r="U85" s="227">
        <v>0</v>
      </c>
      <c r="V85" s="227">
        <v>0</v>
      </c>
      <c r="W85" s="227">
        <v>0</v>
      </c>
      <c r="X85" s="227">
        <v>0</v>
      </c>
      <c r="Y85" s="227">
        <v>0</v>
      </c>
      <c r="Z85" s="227">
        <v>0</v>
      </c>
      <c r="AA85" s="232">
        <f>SUM(N85:Z85)</f>
        <v>0</v>
      </c>
      <c r="AB85" s="218">
        <f>AA85-'5 YR Budget'!D85</f>
        <v>0</v>
      </c>
      <c r="AD85" s="221"/>
    </row>
    <row r="86" spans="2:30" s="54" customFormat="1" ht="15" customHeight="1">
      <c r="B86" s="83" t="str">
        <f>Assumptions!C87</f>
        <v>9900 - Transfers</v>
      </c>
      <c r="C86" s="53"/>
      <c r="D86" s="227">
        <v>0</v>
      </c>
      <c r="E86" s="227">
        <v>0</v>
      </c>
      <c r="F86" s="227">
        <v>0</v>
      </c>
      <c r="G86" s="227">
        <v>0</v>
      </c>
      <c r="H86" s="227">
        <v>0</v>
      </c>
      <c r="I86" s="227">
        <v>0</v>
      </c>
      <c r="J86" s="232">
        <f>SUM(D86:I86)</f>
        <v>0</v>
      </c>
      <c r="K86" s="220">
        <f>J86-'Start-Up Budget'!D86</f>
        <v>0</v>
      </c>
      <c r="L86" s="80"/>
      <c r="M86" s="282"/>
      <c r="N86" s="227">
        <v>0</v>
      </c>
      <c r="O86" s="227">
        <v>0</v>
      </c>
      <c r="P86" s="227">
        <v>0</v>
      </c>
      <c r="Q86" s="227">
        <v>0</v>
      </c>
      <c r="R86" s="227">
        <v>0</v>
      </c>
      <c r="S86" s="227">
        <v>0</v>
      </c>
      <c r="T86" s="227">
        <v>0</v>
      </c>
      <c r="U86" s="227">
        <v>0</v>
      </c>
      <c r="V86" s="227">
        <v>0</v>
      </c>
      <c r="W86" s="227">
        <v>0</v>
      </c>
      <c r="X86" s="227">
        <v>0</v>
      </c>
      <c r="Y86" s="227">
        <v>0</v>
      </c>
      <c r="Z86" s="227">
        <v>0</v>
      </c>
      <c r="AA86" s="232">
        <f>SUM(N86:Z86)</f>
        <v>0</v>
      </c>
      <c r="AB86" s="218">
        <f>AA86-'5 YR Budget'!D86</f>
        <v>0</v>
      </c>
      <c r="AD86" s="221"/>
    </row>
    <row r="87" spans="2:30" s="54" customFormat="1" ht="15" customHeight="1">
      <c r="B87" s="83" t="str">
        <f>Assumptions!C88</f>
        <v>Custom OTHER FINANCING SOURCES</v>
      </c>
      <c r="C87" s="53"/>
      <c r="D87" s="227">
        <v>0</v>
      </c>
      <c r="E87" s="227">
        <v>0</v>
      </c>
      <c r="F87" s="227">
        <v>0</v>
      </c>
      <c r="G87" s="227">
        <v>0</v>
      </c>
      <c r="H87" s="227">
        <v>0</v>
      </c>
      <c r="I87" s="227">
        <v>0</v>
      </c>
      <c r="J87" s="232">
        <f>SUM(D87:I87)</f>
        <v>0</v>
      </c>
      <c r="K87" s="220">
        <f>J87-'Start-Up Budget'!D87</f>
        <v>0</v>
      </c>
      <c r="L87" s="80"/>
      <c r="M87" s="282"/>
      <c r="N87" s="227">
        <v>0</v>
      </c>
      <c r="O87" s="227">
        <v>0</v>
      </c>
      <c r="P87" s="227">
        <v>0</v>
      </c>
      <c r="Q87" s="227">
        <v>0</v>
      </c>
      <c r="R87" s="227">
        <v>0</v>
      </c>
      <c r="S87" s="227">
        <v>0</v>
      </c>
      <c r="T87" s="227">
        <v>0</v>
      </c>
      <c r="U87" s="227">
        <v>0</v>
      </c>
      <c r="V87" s="227">
        <v>0</v>
      </c>
      <c r="W87" s="227">
        <v>0</v>
      </c>
      <c r="X87" s="227">
        <v>0</v>
      </c>
      <c r="Y87" s="227">
        <v>0</v>
      </c>
      <c r="Z87" s="227">
        <v>0</v>
      </c>
      <c r="AA87" s="232">
        <f>SUM(N87:Z87)</f>
        <v>0</v>
      </c>
      <c r="AB87" s="218">
        <f>AA87-'5 YR Budget'!D87</f>
        <v>0</v>
      </c>
      <c r="AD87" s="221"/>
    </row>
    <row r="88" spans="2:30" s="54" customFormat="1" ht="15" customHeight="1" thickBot="1">
      <c r="B88" s="81" t="str">
        <f>Assumptions!C89</f>
        <v>TOTAL OTHER FINANCING SOURCES</v>
      </c>
      <c r="C88" s="53"/>
      <c r="D88" s="307">
        <f>SUM(D85:D87)</f>
        <v>0</v>
      </c>
      <c r="E88" s="307">
        <f t="shared" ref="E88:J88" si="39">SUM(E85:E87)</f>
        <v>0</v>
      </c>
      <c r="F88" s="307">
        <f t="shared" si="39"/>
        <v>0</v>
      </c>
      <c r="G88" s="307">
        <f t="shared" si="39"/>
        <v>0</v>
      </c>
      <c r="H88" s="307">
        <f t="shared" si="39"/>
        <v>0</v>
      </c>
      <c r="I88" s="307">
        <f t="shared" si="39"/>
        <v>0</v>
      </c>
      <c r="J88" s="307">
        <f t="shared" si="39"/>
        <v>0</v>
      </c>
      <c r="K88" s="220">
        <f>J88-'Start-Up Budget'!D88</f>
        <v>0</v>
      </c>
      <c r="L88" s="80"/>
      <c r="M88" s="282"/>
      <c r="N88" s="307">
        <f t="shared" ref="N88:AA88" si="40">SUM(N85:N87)</f>
        <v>0</v>
      </c>
      <c r="O88" s="307">
        <f t="shared" si="40"/>
        <v>0</v>
      </c>
      <c r="P88" s="307">
        <f t="shared" si="40"/>
        <v>0</v>
      </c>
      <c r="Q88" s="307">
        <f t="shared" si="40"/>
        <v>0</v>
      </c>
      <c r="R88" s="307">
        <f t="shared" si="40"/>
        <v>0</v>
      </c>
      <c r="S88" s="307">
        <f t="shared" si="40"/>
        <v>0</v>
      </c>
      <c r="T88" s="307">
        <f t="shared" si="40"/>
        <v>0</v>
      </c>
      <c r="U88" s="307">
        <f t="shared" si="40"/>
        <v>0</v>
      </c>
      <c r="V88" s="307">
        <f t="shared" si="40"/>
        <v>0</v>
      </c>
      <c r="W88" s="307">
        <f t="shared" si="40"/>
        <v>0</v>
      </c>
      <c r="X88" s="307">
        <f t="shared" si="40"/>
        <v>0</v>
      </c>
      <c r="Y88" s="307">
        <f t="shared" si="40"/>
        <v>0</v>
      </c>
      <c r="Z88" s="307">
        <f t="shared" si="40"/>
        <v>0</v>
      </c>
      <c r="AA88" s="307">
        <f t="shared" si="40"/>
        <v>0</v>
      </c>
      <c r="AB88" s="218">
        <f>AA88-'5 YR Budget'!D88</f>
        <v>0</v>
      </c>
      <c r="AD88" s="221"/>
    </row>
    <row r="89" spans="2:30" s="54" customFormat="1" ht="6" customHeight="1" thickTop="1">
      <c r="B89" s="81"/>
      <c r="C89" s="53"/>
      <c r="D89" s="311"/>
      <c r="E89" s="311"/>
      <c r="F89" s="311"/>
      <c r="G89" s="311"/>
      <c r="H89" s="311"/>
      <c r="I89" s="311"/>
      <c r="J89" s="311"/>
      <c r="K89" s="220">
        <f>J89-'Start-Up Budget'!D89</f>
        <v>0</v>
      </c>
      <c r="L89" s="80"/>
      <c r="M89" s="282"/>
      <c r="N89" s="311"/>
      <c r="O89" s="311"/>
      <c r="P89" s="311"/>
      <c r="Q89" s="311"/>
      <c r="R89" s="311"/>
      <c r="S89" s="311"/>
      <c r="T89" s="311"/>
      <c r="U89" s="311"/>
      <c r="V89" s="311"/>
      <c r="W89" s="311"/>
      <c r="X89" s="311"/>
      <c r="Y89" s="311"/>
      <c r="Z89" s="311"/>
      <c r="AA89" s="311"/>
      <c r="AB89" s="96"/>
      <c r="AD89" s="221"/>
    </row>
    <row r="90" spans="2:30" s="54" customFormat="1" ht="15" customHeight="1" thickBot="1">
      <c r="B90" s="81" t="str">
        <f>Assumptions!C91</f>
        <v>TOTAL REVENUE</v>
      </c>
      <c r="C90" s="53"/>
      <c r="D90" s="335">
        <f>SUM(D23,D29,D35,D45,D56,D70,D75,D82,D88)</f>
        <v>0</v>
      </c>
      <c r="E90" s="335">
        <f t="shared" ref="E90:J90" si="41">SUM(E23,E29,E35,E45,E56,E70,E75,E82,E88)</f>
        <v>0</v>
      </c>
      <c r="F90" s="335">
        <f t="shared" si="41"/>
        <v>0</v>
      </c>
      <c r="G90" s="335">
        <f t="shared" si="41"/>
        <v>0</v>
      </c>
      <c r="H90" s="335">
        <f t="shared" si="41"/>
        <v>0</v>
      </c>
      <c r="I90" s="335">
        <f t="shared" si="41"/>
        <v>0</v>
      </c>
      <c r="J90" s="335">
        <f t="shared" si="41"/>
        <v>0</v>
      </c>
      <c r="K90" s="220">
        <f>J90-'Start-Up Budget'!D90</f>
        <v>0</v>
      </c>
      <c r="L90" s="80"/>
      <c r="M90" s="282"/>
      <c r="N90" s="335">
        <f t="shared" ref="N90:AA90" si="42">SUM(N23,N29,N35,N45,N56,N70,N75,N82,N88)</f>
        <v>0</v>
      </c>
      <c r="O90" s="335">
        <f t="shared" si="42"/>
        <v>0</v>
      </c>
      <c r="P90" s="335">
        <f t="shared" si="42"/>
        <v>0</v>
      </c>
      <c r="Q90" s="335">
        <f t="shared" si="42"/>
        <v>0</v>
      </c>
      <c r="R90" s="335">
        <f t="shared" si="42"/>
        <v>0</v>
      </c>
      <c r="S90" s="335">
        <f t="shared" si="42"/>
        <v>0</v>
      </c>
      <c r="T90" s="335">
        <f t="shared" si="42"/>
        <v>0</v>
      </c>
      <c r="U90" s="335">
        <f t="shared" si="42"/>
        <v>0</v>
      </c>
      <c r="V90" s="335">
        <f t="shared" si="42"/>
        <v>0</v>
      </c>
      <c r="W90" s="335">
        <f t="shared" si="42"/>
        <v>0</v>
      </c>
      <c r="X90" s="335">
        <f t="shared" si="42"/>
        <v>0</v>
      </c>
      <c r="Y90" s="335">
        <f t="shared" si="42"/>
        <v>0</v>
      </c>
      <c r="Z90" s="335">
        <f t="shared" si="42"/>
        <v>0</v>
      </c>
      <c r="AA90" s="335">
        <f t="shared" si="42"/>
        <v>0</v>
      </c>
      <c r="AB90" s="218">
        <f>AA90-'5 YR Budget'!D90</f>
        <v>0</v>
      </c>
      <c r="AD90" s="221"/>
    </row>
    <row r="91" spans="2:30" s="54" customFormat="1" ht="15" customHeight="1" thickTop="1">
      <c r="B91" s="92"/>
      <c r="C91" s="53"/>
      <c r="D91" s="89"/>
      <c r="E91" s="89"/>
      <c r="F91" s="89"/>
      <c r="G91" s="89"/>
      <c r="H91" s="89"/>
      <c r="I91" s="89"/>
      <c r="J91" s="89"/>
      <c r="K91" s="237"/>
      <c r="L91" s="80"/>
      <c r="M91" s="282"/>
      <c r="N91" s="89"/>
      <c r="O91" s="89"/>
      <c r="P91" s="89"/>
      <c r="Q91" s="89"/>
      <c r="R91" s="89"/>
      <c r="S91" s="89"/>
      <c r="T91" s="89"/>
      <c r="U91" s="89"/>
      <c r="V91" s="89"/>
      <c r="W91" s="89"/>
      <c r="X91" s="89"/>
      <c r="Y91" s="89"/>
      <c r="Z91" s="89"/>
      <c r="AA91" s="89"/>
      <c r="AB91" s="93"/>
      <c r="AD91" s="221"/>
    </row>
    <row r="92" spans="2:30" s="54" customFormat="1" ht="15" customHeight="1">
      <c r="B92" s="348" t="str">
        <f>Assumptions!C93</f>
        <v>EXPENSES</v>
      </c>
      <c r="C92" s="53"/>
      <c r="D92" s="89"/>
      <c r="E92" s="89"/>
      <c r="F92" s="89"/>
      <c r="G92" s="89"/>
      <c r="H92" s="89"/>
      <c r="I92" s="89"/>
      <c r="J92" s="89"/>
      <c r="K92" s="236"/>
      <c r="L92" s="80"/>
      <c r="M92" s="282"/>
      <c r="N92" s="89"/>
      <c r="O92" s="89"/>
      <c r="P92" s="89"/>
      <c r="Q92" s="89"/>
      <c r="R92" s="89"/>
      <c r="S92" s="89"/>
      <c r="T92" s="89"/>
      <c r="U92" s="89"/>
      <c r="V92" s="89"/>
      <c r="W92" s="89"/>
      <c r="X92" s="89"/>
      <c r="Y92" s="89"/>
      <c r="Z92" s="89"/>
      <c r="AA92" s="89"/>
      <c r="AB92" s="89"/>
      <c r="AD92" s="221"/>
    </row>
    <row r="93" spans="2:30" s="54" customFormat="1" ht="15" customHeight="1">
      <c r="B93" s="81" t="str">
        <f>Assumptions!C94</f>
        <v>ADMINISTRATIVE STAFF PERSONNEL COSTS</v>
      </c>
      <c r="C93" s="53"/>
      <c r="D93" s="89"/>
      <c r="E93" s="89"/>
      <c r="F93" s="89"/>
      <c r="G93" s="89"/>
      <c r="H93" s="89"/>
      <c r="I93" s="89"/>
      <c r="J93" s="89"/>
      <c r="K93" s="236"/>
      <c r="L93" s="80"/>
      <c r="M93" s="282"/>
      <c r="N93" s="89"/>
      <c r="O93" s="89"/>
      <c r="P93" s="89"/>
      <c r="Q93" s="89"/>
      <c r="R93" s="89"/>
      <c r="S93" s="89"/>
      <c r="T93" s="89"/>
      <c r="U93" s="89"/>
      <c r="V93" s="89"/>
      <c r="W93" s="89"/>
      <c r="X93" s="89"/>
      <c r="Y93" s="89"/>
      <c r="Z93" s="89"/>
      <c r="AA93" s="89"/>
      <c r="AB93" s="89"/>
      <c r="AD93" s="221"/>
    </row>
    <row r="94" spans="2:30" s="54" customFormat="1" ht="15" customHeight="1">
      <c r="B94" s="94" t="str">
        <f>Assumptions!C95</f>
        <v>Executive Management</v>
      </c>
      <c r="C94" s="53"/>
      <c r="D94" s="227">
        <v>0</v>
      </c>
      <c r="E94" s="227">
        <v>0</v>
      </c>
      <c r="F94" s="227">
        <v>0</v>
      </c>
      <c r="G94" s="227">
        <v>0</v>
      </c>
      <c r="H94" s="227">
        <v>0</v>
      </c>
      <c r="I94" s="227">
        <v>0</v>
      </c>
      <c r="J94" s="232">
        <f t="shared" ref="J94:J100" si="43">SUM(D94:I94)</f>
        <v>0</v>
      </c>
      <c r="K94" s="220">
        <f>J94-'Start-Up Budget'!D94</f>
        <v>0</v>
      </c>
      <c r="L94" s="80"/>
      <c r="M94" s="282"/>
      <c r="N94" s="227">
        <v>0</v>
      </c>
      <c r="O94" s="227">
        <v>0</v>
      </c>
      <c r="P94" s="227">
        <v>0</v>
      </c>
      <c r="Q94" s="227">
        <v>0</v>
      </c>
      <c r="R94" s="227">
        <v>0</v>
      </c>
      <c r="S94" s="227">
        <v>0</v>
      </c>
      <c r="T94" s="227">
        <v>0</v>
      </c>
      <c r="U94" s="227">
        <v>0</v>
      </c>
      <c r="V94" s="227">
        <v>0</v>
      </c>
      <c r="W94" s="227">
        <v>0</v>
      </c>
      <c r="X94" s="227">
        <v>0</v>
      </c>
      <c r="Y94" s="227">
        <v>0</v>
      </c>
      <c r="Z94" s="294">
        <v>0</v>
      </c>
      <c r="AA94" s="232">
        <f t="shared" ref="AA94:AA100" si="44">SUM(N94:Z94)</f>
        <v>0</v>
      </c>
      <c r="AB94" s="218">
        <f>AA94-'5 YR Budget'!D94</f>
        <v>0</v>
      </c>
      <c r="AD94" s="221"/>
    </row>
    <row r="95" spans="2:30" s="54" customFormat="1" ht="15" customHeight="1">
      <c r="B95" s="94" t="str">
        <f>Assumptions!C96</f>
        <v>Instructional Management</v>
      </c>
      <c r="C95" s="53"/>
      <c r="D95" s="227">
        <v>0</v>
      </c>
      <c r="E95" s="227">
        <v>0</v>
      </c>
      <c r="F95" s="227">
        <v>0</v>
      </c>
      <c r="G95" s="227">
        <v>0</v>
      </c>
      <c r="H95" s="227">
        <v>0</v>
      </c>
      <c r="I95" s="227">
        <v>0</v>
      </c>
      <c r="J95" s="232">
        <f t="shared" si="43"/>
        <v>0</v>
      </c>
      <c r="K95" s="220">
        <f>J95-'Start-Up Budget'!D95</f>
        <v>0</v>
      </c>
      <c r="L95" s="80"/>
      <c r="M95" s="282"/>
      <c r="N95" s="227">
        <v>0</v>
      </c>
      <c r="O95" s="227">
        <v>0</v>
      </c>
      <c r="P95" s="227">
        <v>0</v>
      </c>
      <c r="Q95" s="227">
        <v>0</v>
      </c>
      <c r="R95" s="227">
        <v>0</v>
      </c>
      <c r="S95" s="227">
        <v>0</v>
      </c>
      <c r="T95" s="227">
        <v>0</v>
      </c>
      <c r="U95" s="227">
        <v>0</v>
      </c>
      <c r="V95" s="227">
        <v>0</v>
      </c>
      <c r="W95" s="227">
        <v>0</v>
      </c>
      <c r="X95" s="227">
        <v>0</v>
      </c>
      <c r="Y95" s="227">
        <v>0</v>
      </c>
      <c r="Z95" s="294">
        <v>0</v>
      </c>
      <c r="AA95" s="232">
        <f t="shared" si="44"/>
        <v>0</v>
      </c>
      <c r="AB95" s="218">
        <f>AA95-'5 YR Budget'!D95</f>
        <v>0</v>
      </c>
      <c r="AD95" s="221"/>
    </row>
    <row r="96" spans="2:30" s="54" customFormat="1" ht="15" customHeight="1">
      <c r="B96" s="94" t="str">
        <f>Assumptions!C97</f>
        <v>Deans, Directors &amp; Coordinators</v>
      </c>
      <c r="C96" s="53"/>
      <c r="D96" s="227">
        <v>0</v>
      </c>
      <c r="E96" s="227">
        <v>0</v>
      </c>
      <c r="F96" s="227">
        <v>0</v>
      </c>
      <c r="G96" s="227">
        <v>0</v>
      </c>
      <c r="H96" s="227">
        <v>0</v>
      </c>
      <c r="I96" s="227">
        <v>0</v>
      </c>
      <c r="J96" s="232">
        <f t="shared" si="43"/>
        <v>0</v>
      </c>
      <c r="K96" s="220">
        <f>J96-'Start-Up Budget'!D96</f>
        <v>0</v>
      </c>
      <c r="L96" s="80"/>
      <c r="M96" s="282"/>
      <c r="N96" s="227">
        <v>0</v>
      </c>
      <c r="O96" s="227">
        <v>0</v>
      </c>
      <c r="P96" s="227">
        <v>0</v>
      </c>
      <c r="Q96" s="227">
        <v>0</v>
      </c>
      <c r="R96" s="227">
        <v>0</v>
      </c>
      <c r="S96" s="227">
        <v>0</v>
      </c>
      <c r="T96" s="227">
        <v>0</v>
      </c>
      <c r="U96" s="227">
        <v>0</v>
      </c>
      <c r="V96" s="227">
        <v>0</v>
      </c>
      <c r="W96" s="227">
        <v>0</v>
      </c>
      <c r="X96" s="227">
        <v>0</v>
      </c>
      <c r="Y96" s="227">
        <v>0</v>
      </c>
      <c r="Z96" s="294">
        <v>0</v>
      </c>
      <c r="AA96" s="232">
        <f t="shared" si="44"/>
        <v>0</v>
      </c>
      <c r="AB96" s="218">
        <f>AA96-'5 YR Budget'!D96</f>
        <v>0</v>
      </c>
      <c r="AD96" s="221"/>
    </row>
    <row r="97" spans="2:30" s="54" customFormat="1" ht="15" customHeight="1">
      <c r="B97" s="94" t="str">
        <f>Assumptions!C98</f>
        <v>CFO / Director of Finance</v>
      </c>
      <c r="C97" s="53"/>
      <c r="D97" s="227">
        <v>0</v>
      </c>
      <c r="E97" s="227">
        <v>0</v>
      </c>
      <c r="F97" s="227">
        <v>0</v>
      </c>
      <c r="G97" s="227">
        <v>0</v>
      </c>
      <c r="H97" s="227">
        <v>0</v>
      </c>
      <c r="I97" s="227">
        <v>0</v>
      </c>
      <c r="J97" s="232">
        <f t="shared" si="43"/>
        <v>0</v>
      </c>
      <c r="K97" s="220">
        <f>J97-'Start-Up Budget'!D97</f>
        <v>0</v>
      </c>
      <c r="L97" s="80"/>
      <c r="M97" s="282"/>
      <c r="N97" s="227">
        <v>0</v>
      </c>
      <c r="O97" s="227">
        <v>0</v>
      </c>
      <c r="P97" s="227">
        <v>0</v>
      </c>
      <c r="Q97" s="227">
        <v>0</v>
      </c>
      <c r="R97" s="227">
        <v>0</v>
      </c>
      <c r="S97" s="227">
        <v>0</v>
      </c>
      <c r="T97" s="227">
        <v>0</v>
      </c>
      <c r="U97" s="227">
        <v>0</v>
      </c>
      <c r="V97" s="227">
        <v>0</v>
      </c>
      <c r="W97" s="227">
        <v>0</v>
      </c>
      <c r="X97" s="227">
        <v>0</v>
      </c>
      <c r="Y97" s="227">
        <v>0</v>
      </c>
      <c r="Z97" s="294">
        <v>0</v>
      </c>
      <c r="AA97" s="232">
        <f t="shared" si="44"/>
        <v>0</v>
      </c>
      <c r="AB97" s="218">
        <f>AA97-'5 YR Budget'!D97</f>
        <v>0</v>
      </c>
      <c r="AD97" s="221"/>
    </row>
    <row r="98" spans="2:30" s="54" customFormat="1" ht="15" customHeight="1">
      <c r="B98" s="94" t="str">
        <f>Assumptions!C99</f>
        <v>Operation / Business Manager</v>
      </c>
      <c r="C98" s="53"/>
      <c r="D98" s="227">
        <v>0</v>
      </c>
      <c r="E98" s="227">
        <v>0</v>
      </c>
      <c r="F98" s="227">
        <v>0</v>
      </c>
      <c r="G98" s="227">
        <v>0</v>
      </c>
      <c r="H98" s="227">
        <v>0</v>
      </c>
      <c r="I98" s="227">
        <v>0</v>
      </c>
      <c r="J98" s="232">
        <f t="shared" si="43"/>
        <v>0</v>
      </c>
      <c r="K98" s="220">
        <f>J98-'Start-Up Budget'!D98</f>
        <v>0</v>
      </c>
      <c r="L98" s="80"/>
      <c r="M98" s="282"/>
      <c r="N98" s="227">
        <v>0</v>
      </c>
      <c r="O98" s="227">
        <v>0</v>
      </c>
      <c r="P98" s="227">
        <v>0</v>
      </c>
      <c r="Q98" s="227">
        <v>0</v>
      </c>
      <c r="R98" s="227">
        <v>0</v>
      </c>
      <c r="S98" s="227">
        <v>0</v>
      </c>
      <c r="T98" s="227">
        <v>0</v>
      </c>
      <c r="U98" s="227">
        <v>0</v>
      </c>
      <c r="V98" s="227">
        <v>0</v>
      </c>
      <c r="W98" s="227">
        <v>0</v>
      </c>
      <c r="X98" s="227">
        <v>0</v>
      </c>
      <c r="Y98" s="227">
        <v>0</v>
      </c>
      <c r="Z98" s="294">
        <v>0</v>
      </c>
      <c r="AA98" s="232">
        <f t="shared" si="44"/>
        <v>0</v>
      </c>
      <c r="AB98" s="218">
        <f>AA98-'5 YR Budget'!D98</f>
        <v>0</v>
      </c>
      <c r="AD98" s="221"/>
    </row>
    <row r="99" spans="2:30" s="54" customFormat="1" ht="15" customHeight="1">
      <c r="B99" s="94" t="str">
        <f>Assumptions!C100</f>
        <v>Administrative Staff</v>
      </c>
      <c r="C99" s="53"/>
      <c r="D99" s="227">
        <v>0</v>
      </c>
      <c r="E99" s="227">
        <v>0</v>
      </c>
      <c r="F99" s="227">
        <v>0</v>
      </c>
      <c r="G99" s="227">
        <v>0</v>
      </c>
      <c r="H99" s="227">
        <v>0</v>
      </c>
      <c r="I99" s="227">
        <v>0</v>
      </c>
      <c r="J99" s="232">
        <f t="shared" si="43"/>
        <v>0</v>
      </c>
      <c r="K99" s="220">
        <f>J99-'Start-Up Budget'!D99</f>
        <v>0</v>
      </c>
      <c r="L99" s="80"/>
      <c r="M99" s="282"/>
      <c r="N99" s="227">
        <v>0</v>
      </c>
      <c r="O99" s="227">
        <v>0</v>
      </c>
      <c r="P99" s="227">
        <v>0</v>
      </c>
      <c r="Q99" s="227">
        <v>0</v>
      </c>
      <c r="R99" s="227">
        <v>0</v>
      </c>
      <c r="S99" s="227">
        <v>0</v>
      </c>
      <c r="T99" s="227">
        <v>0</v>
      </c>
      <c r="U99" s="227">
        <v>0</v>
      </c>
      <c r="V99" s="227">
        <v>0</v>
      </c>
      <c r="W99" s="227">
        <v>0</v>
      </c>
      <c r="X99" s="227">
        <v>0</v>
      </c>
      <c r="Y99" s="227">
        <v>0</v>
      </c>
      <c r="Z99" s="294">
        <v>0</v>
      </c>
      <c r="AA99" s="232">
        <f t="shared" si="44"/>
        <v>0</v>
      </c>
      <c r="AB99" s="218">
        <f>AA99-'5 YR Budget'!D99</f>
        <v>0</v>
      </c>
      <c r="AD99" s="221"/>
    </row>
    <row r="100" spans="2:30" s="54" customFormat="1" ht="15" customHeight="1">
      <c r="B100" s="94" t="str">
        <f>Assumptions!C101</f>
        <v>Other - Administrative</v>
      </c>
      <c r="C100" s="53"/>
      <c r="D100" s="227">
        <v>0</v>
      </c>
      <c r="E100" s="227">
        <v>0</v>
      </c>
      <c r="F100" s="227">
        <v>0</v>
      </c>
      <c r="G100" s="227">
        <v>0</v>
      </c>
      <c r="H100" s="227">
        <v>0</v>
      </c>
      <c r="I100" s="227">
        <v>0</v>
      </c>
      <c r="J100" s="232">
        <f t="shared" si="43"/>
        <v>0</v>
      </c>
      <c r="K100" s="220">
        <f>J100-'Start-Up Budget'!D100</f>
        <v>0</v>
      </c>
      <c r="L100" s="80"/>
      <c r="M100" s="282"/>
      <c r="N100" s="227">
        <v>0</v>
      </c>
      <c r="O100" s="227">
        <v>0</v>
      </c>
      <c r="P100" s="227">
        <v>0</v>
      </c>
      <c r="Q100" s="227">
        <v>0</v>
      </c>
      <c r="R100" s="227">
        <v>0</v>
      </c>
      <c r="S100" s="227">
        <v>0</v>
      </c>
      <c r="T100" s="227">
        <v>0</v>
      </c>
      <c r="U100" s="227">
        <v>0</v>
      </c>
      <c r="V100" s="227">
        <v>0</v>
      </c>
      <c r="W100" s="227">
        <v>0</v>
      </c>
      <c r="X100" s="227">
        <v>0</v>
      </c>
      <c r="Y100" s="227">
        <v>0</v>
      </c>
      <c r="Z100" s="294">
        <v>0</v>
      </c>
      <c r="AA100" s="232">
        <f t="shared" si="44"/>
        <v>0</v>
      </c>
      <c r="AB100" s="218">
        <f>AA100-'5 YR Budget'!D100</f>
        <v>0</v>
      </c>
      <c r="AD100" s="221"/>
    </row>
    <row r="101" spans="2:30" s="54" customFormat="1" ht="15" customHeight="1" thickBot="1">
      <c r="B101" s="81" t="str">
        <f>Assumptions!C102</f>
        <v>TOTAL ADMINISTRATIVE STAFF PERSONNEL COSTS</v>
      </c>
      <c r="C101" s="53"/>
      <c r="D101" s="87">
        <f t="shared" ref="D101:J101" si="45">SUM(D94:D100)</f>
        <v>0</v>
      </c>
      <c r="E101" s="87">
        <f t="shared" si="45"/>
        <v>0</v>
      </c>
      <c r="F101" s="87">
        <f t="shared" si="45"/>
        <v>0</v>
      </c>
      <c r="G101" s="87">
        <f t="shared" si="45"/>
        <v>0</v>
      </c>
      <c r="H101" s="87">
        <f t="shared" si="45"/>
        <v>0</v>
      </c>
      <c r="I101" s="87">
        <f t="shared" si="45"/>
        <v>0</v>
      </c>
      <c r="J101" s="231">
        <f t="shared" si="45"/>
        <v>0</v>
      </c>
      <c r="K101" s="220">
        <f>J101-'Start-Up Budget'!D101</f>
        <v>0</v>
      </c>
      <c r="L101" s="80"/>
      <c r="M101" s="282"/>
      <c r="N101" s="246">
        <f t="shared" ref="N101:AA101" si="46">SUM(N94:N100)</f>
        <v>0</v>
      </c>
      <c r="O101" s="87">
        <f t="shared" si="46"/>
        <v>0</v>
      </c>
      <c r="P101" s="87">
        <f t="shared" si="46"/>
        <v>0</v>
      </c>
      <c r="Q101" s="87">
        <f t="shared" si="46"/>
        <v>0</v>
      </c>
      <c r="R101" s="87">
        <f t="shared" si="46"/>
        <v>0</v>
      </c>
      <c r="S101" s="87">
        <f t="shared" si="46"/>
        <v>0</v>
      </c>
      <c r="T101" s="87">
        <f t="shared" si="46"/>
        <v>0</v>
      </c>
      <c r="U101" s="87">
        <f t="shared" si="46"/>
        <v>0</v>
      </c>
      <c r="V101" s="87">
        <f t="shared" si="46"/>
        <v>0</v>
      </c>
      <c r="W101" s="87">
        <f t="shared" si="46"/>
        <v>0</v>
      </c>
      <c r="X101" s="87">
        <f t="shared" si="46"/>
        <v>0</v>
      </c>
      <c r="Y101" s="87">
        <f t="shared" si="46"/>
        <v>0</v>
      </c>
      <c r="Z101" s="87">
        <f t="shared" si="46"/>
        <v>0</v>
      </c>
      <c r="AA101" s="231">
        <f t="shared" si="46"/>
        <v>0</v>
      </c>
      <c r="AB101" s="218">
        <f>AA101-'5 YR Budget'!D101</f>
        <v>0</v>
      </c>
      <c r="AD101" s="221"/>
    </row>
    <row r="102" spans="2:30" s="54" customFormat="1" ht="6" customHeight="1" thickTop="1">
      <c r="B102" s="81"/>
      <c r="C102" s="53"/>
      <c r="D102" s="88"/>
      <c r="E102" s="88"/>
      <c r="F102" s="88"/>
      <c r="G102" s="88"/>
      <c r="H102" s="88"/>
      <c r="I102" s="88"/>
      <c r="J102" s="88"/>
      <c r="K102" s="235"/>
      <c r="L102" s="80"/>
      <c r="M102" s="282"/>
      <c r="N102" s="88"/>
      <c r="O102" s="88"/>
      <c r="P102" s="88"/>
      <c r="Q102" s="88"/>
      <c r="R102" s="88"/>
      <c r="S102" s="88"/>
      <c r="T102" s="88"/>
      <c r="U102" s="88"/>
      <c r="V102" s="88"/>
      <c r="W102" s="88"/>
      <c r="X102" s="88"/>
      <c r="Y102" s="88"/>
      <c r="Z102" s="88"/>
      <c r="AA102" s="88"/>
      <c r="AB102" s="88"/>
      <c r="AD102" s="221"/>
    </row>
    <row r="103" spans="2:30" s="54" customFormat="1" ht="15" customHeight="1">
      <c r="B103" s="81" t="str">
        <f>Assumptions!C104</f>
        <v>INSTRUCTIONAL PERSONNEL COSTS</v>
      </c>
      <c r="C103" s="53"/>
      <c r="D103" s="57"/>
      <c r="E103" s="57"/>
      <c r="F103" s="57"/>
      <c r="G103" s="57"/>
      <c r="H103" s="57"/>
      <c r="I103" s="57"/>
      <c r="J103" s="57"/>
      <c r="K103" s="79"/>
      <c r="L103" s="80"/>
      <c r="M103" s="282"/>
      <c r="N103" s="57"/>
      <c r="O103" s="57"/>
      <c r="P103" s="57"/>
      <c r="Q103" s="57"/>
      <c r="R103" s="57"/>
      <c r="S103" s="57"/>
      <c r="T103" s="57"/>
      <c r="U103" s="57"/>
      <c r="V103" s="57"/>
      <c r="W103" s="57"/>
      <c r="X103" s="57"/>
      <c r="Y103" s="57"/>
      <c r="Z103" s="57"/>
      <c r="AA103" s="57"/>
      <c r="AB103" s="57"/>
      <c r="AD103" s="221"/>
    </row>
    <row r="104" spans="2:30" s="54" customFormat="1" ht="15" customHeight="1">
      <c r="B104" s="94" t="str">
        <f>Assumptions!C105</f>
        <v>Teachers - Regular</v>
      </c>
      <c r="C104" s="53"/>
      <c r="D104" s="227">
        <v>0</v>
      </c>
      <c r="E104" s="227">
        <v>0</v>
      </c>
      <c r="F104" s="227">
        <v>0</v>
      </c>
      <c r="G104" s="227">
        <v>0</v>
      </c>
      <c r="H104" s="227">
        <v>0</v>
      </c>
      <c r="I104" s="227">
        <v>0</v>
      </c>
      <c r="J104" s="232">
        <f t="shared" ref="J104:J111" si="47">SUM(D104:I104)</f>
        <v>0</v>
      </c>
      <c r="K104" s="220">
        <f>J104-'Start-Up Budget'!D104</f>
        <v>0</v>
      </c>
      <c r="L104" s="80"/>
      <c r="M104" s="282"/>
      <c r="N104" s="227">
        <v>0</v>
      </c>
      <c r="O104" s="227">
        <v>0</v>
      </c>
      <c r="P104" s="227">
        <v>0</v>
      </c>
      <c r="Q104" s="227">
        <v>0</v>
      </c>
      <c r="R104" s="227">
        <v>0</v>
      </c>
      <c r="S104" s="227">
        <v>0</v>
      </c>
      <c r="T104" s="227">
        <v>0</v>
      </c>
      <c r="U104" s="227">
        <v>0</v>
      </c>
      <c r="V104" s="227">
        <v>0</v>
      </c>
      <c r="W104" s="227">
        <v>0</v>
      </c>
      <c r="X104" s="227">
        <v>0</v>
      </c>
      <c r="Y104" s="227">
        <v>0</v>
      </c>
      <c r="Z104" s="294">
        <v>0</v>
      </c>
      <c r="AA104" s="232">
        <f t="shared" ref="AA104:AA111" si="48">SUM(N104:Z104)</f>
        <v>0</v>
      </c>
      <c r="AB104" s="218">
        <f>AA104-'5 YR Budget'!D104</f>
        <v>0</v>
      </c>
      <c r="AD104" s="221"/>
    </row>
    <row r="105" spans="2:30" s="54" customFormat="1" ht="15" customHeight="1">
      <c r="B105" s="94" t="str">
        <f>Assumptions!C106</f>
        <v>Teachers - SPED</v>
      </c>
      <c r="C105" s="53"/>
      <c r="D105" s="227">
        <v>0</v>
      </c>
      <c r="E105" s="227">
        <v>0</v>
      </c>
      <c r="F105" s="227">
        <v>0</v>
      </c>
      <c r="G105" s="227">
        <v>0</v>
      </c>
      <c r="H105" s="227">
        <v>0</v>
      </c>
      <c r="I105" s="227">
        <v>0</v>
      </c>
      <c r="J105" s="232">
        <f t="shared" si="47"/>
        <v>0</v>
      </c>
      <c r="K105" s="220">
        <f>J105-'Start-Up Budget'!D105</f>
        <v>0</v>
      </c>
      <c r="L105" s="80"/>
      <c r="M105" s="282"/>
      <c r="N105" s="227">
        <v>0</v>
      </c>
      <c r="O105" s="227">
        <v>0</v>
      </c>
      <c r="P105" s="227">
        <v>0</v>
      </c>
      <c r="Q105" s="227">
        <v>0</v>
      </c>
      <c r="R105" s="227">
        <v>0</v>
      </c>
      <c r="S105" s="227">
        <v>0</v>
      </c>
      <c r="T105" s="227">
        <v>0</v>
      </c>
      <c r="U105" s="227">
        <v>0</v>
      </c>
      <c r="V105" s="227">
        <v>0</v>
      </c>
      <c r="W105" s="227">
        <v>0</v>
      </c>
      <c r="X105" s="227">
        <v>0</v>
      </c>
      <c r="Y105" s="227">
        <v>0</v>
      </c>
      <c r="Z105" s="294">
        <v>0</v>
      </c>
      <c r="AA105" s="232">
        <f t="shared" si="48"/>
        <v>0</v>
      </c>
      <c r="AB105" s="218">
        <f>AA105-'5 YR Budget'!D105</f>
        <v>0</v>
      </c>
      <c r="AD105" s="221"/>
    </row>
    <row r="106" spans="2:30" s="54" customFormat="1" ht="15" customHeight="1">
      <c r="B106" s="94" t="str">
        <f>Assumptions!C107</f>
        <v>Substitute Teachers</v>
      </c>
      <c r="C106" s="53"/>
      <c r="D106" s="227">
        <v>0</v>
      </c>
      <c r="E106" s="227">
        <v>0</v>
      </c>
      <c r="F106" s="227">
        <v>0</v>
      </c>
      <c r="G106" s="227">
        <v>0</v>
      </c>
      <c r="H106" s="227">
        <v>0</v>
      </c>
      <c r="I106" s="227">
        <v>0</v>
      </c>
      <c r="J106" s="232">
        <f t="shared" si="47"/>
        <v>0</v>
      </c>
      <c r="K106" s="220">
        <f>J106-'Start-Up Budget'!D106</f>
        <v>0</v>
      </c>
      <c r="L106" s="80"/>
      <c r="M106" s="282"/>
      <c r="N106" s="227">
        <v>0</v>
      </c>
      <c r="O106" s="227">
        <v>0</v>
      </c>
      <c r="P106" s="227">
        <v>0</v>
      </c>
      <c r="Q106" s="227">
        <v>0</v>
      </c>
      <c r="R106" s="227">
        <v>0</v>
      </c>
      <c r="S106" s="227">
        <v>0</v>
      </c>
      <c r="T106" s="227">
        <v>0</v>
      </c>
      <c r="U106" s="227">
        <v>0</v>
      </c>
      <c r="V106" s="227">
        <v>0</v>
      </c>
      <c r="W106" s="227">
        <v>0</v>
      </c>
      <c r="X106" s="227">
        <v>0</v>
      </c>
      <c r="Y106" s="227">
        <v>0</v>
      </c>
      <c r="Z106" s="294">
        <v>0</v>
      </c>
      <c r="AA106" s="232">
        <f t="shared" si="48"/>
        <v>0</v>
      </c>
      <c r="AB106" s="218">
        <f>AA106-'5 YR Budget'!D106</f>
        <v>0</v>
      </c>
      <c r="AD106" s="221"/>
    </row>
    <row r="107" spans="2:30" s="54" customFormat="1" ht="15" customHeight="1">
      <c r="B107" s="94" t="str">
        <f>Assumptions!C108</f>
        <v>Teaching Assistants</v>
      </c>
      <c r="C107" s="53"/>
      <c r="D107" s="227">
        <v>0</v>
      </c>
      <c r="E107" s="227">
        <v>0</v>
      </c>
      <c r="F107" s="227">
        <v>0</v>
      </c>
      <c r="G107" s="227">
        <v>0</v>
      </c>
      <c r="H107" s="227">
        <v>0</v>
      </c>
      <c r="I107" s="227">
        <v>0</v>
      </c>
      <c r="J107" s="232">
        <f t="shared" si="47"/>
        <v>0</v>
      </c>
      <c r="K107" s="220">
        <f>J107-'Start-Up Budget'!D107</f>
        <v>0</v>
      </c>
      <c r="L107" s="80"/>
      <c r="M107" s="282"/>
      <c r="N107" s="227">
        <v>0</v>
      </c>
      <c r="O107" s="227">
        <v>0</v>
      </c>
      <c r="P107" s="227">
        <v>0</v>
      </c>
      <c r="Q107" s="227">
        <v>0</v>
      </c>
      <c r="R107" s="227">
        <v>0</v>
      </c>
      <c r="S107" s="227">
        <v>0</v>
      </c>
      <c r="T107" s="227">
        <v>0</v>
      </c>
      <c r="U107" s="227">
        <v>0</v>
      </c>
      <c r="V107" s="227">
        <v>0</v>
      </c>
      <c r="W107" s="227">
        <v>0</v>
      </c>
      <c r="X107" s="227">
        <v>0</v>
      </c>
      <c r="Y107" s="227">
        <v>0</v>
      </c>
      <c r="Z107" s="294">
        <v>0</v>
      </c>
      <c r="AA107" s="232">
        <f t="shared" si="48"/>
        <v>0</v>
      </c>
      <c r="AB107" s="218">
        <f>AA107-'5 YR Budget'!D107</f>
        <v>0</v>
      </c>
      <c r="AD107" s="221"/>
    </row>
    <row r="108" spans="2:30" s="54" customFormat="1" ht="15" customHeight="1">
      <c r="B108" s="94" t="str">
        <f>Assumptions!C109</f>
        <v>Specialty Teachers</v>
      </c>
      <c r="C108" s="53"/>
      <c r="D108" s="227">
        <v>0</v>
      </c>
      <c r="E108" s="227">
        <v>0</v>
      </c>
      <c r="F108" s="227">
        <v>0</v>
      </c>
      <c r="G108" s="227">
        <v>0</v>
      </c>
      <c r="H108" s="227">
        <v>0</v>
      </c>
      <c r="I108" s="227">
        <v>0</v>
      </c>
      <c r="J108" s="232">
        <f t="shared" si="47"/>
        <v>0</v>
      </c>
      <c r="K108" s="220">
        <f>J108-'Start-Up Budget'!D108</f>
        <v>0</v>
      </c>
      <c r="L108" s="80"/>
      <c r="M108" s="282"/>
      <c r="N108" s="227">
        <v>0</v>
      </c>
      <c r="O108" s="227">
        <v>0</v>
      </c>
      <c r="P108" s="227">
        <v>0</v>
      </c>
      <c r="Q108" s="227">
        <v>0</v>
      </c>
      <c r="R108" s="227">
        <v>0</v>
      </c>
      <c r="S108" s="227">
        <v>0</v>
      </c>
      <c r="T108" s="227">
        <v>0</v>
      </c>
      <c r="U108" s="227">
        <v>0</v>
      </c>
      <c r="V108" s="227">
        <v>0</v>
      </c>
      <c r="W108" s="227">
        <v>0</v>
      </c>
      <c r="X108" s="227">
        <v>0</v>
      </c>
      <c r="Y108" s="227">
        <v>0</v>
      </c>
      <c r="Z108" s="294">
        <v>0</v>
      </c>
      <c r="AA108" s="232">
        <f t="shared" si="48"/>
        <v>0</v>
      </c>
      <c r="AB108" s="218">
        <f>AA108-'5 YR Budget'!D108</f>
        <v>0</v>
      </c>
      <c r="AD108" s="221"/>
    </row>
    <row r="109" spans="2:30" s="54" customFormat="1" ht="15" customHeight="1">
      <c r="B109" s="94" t="str">
        <f>Assumptions!C110</f>
        <v>Aides</v>
      </c>
      <c r="C109" s="53"/>
      <c r="D109" s="227">
        <v>0</v>
      </c>
      <c r="E109" s="227">
        <v>0</v>
      </c>
      <c r="F109" s="227">
        <v>0</v>
      </c>
      <c r="G109" s="227">
        <v>0</v>
      </c>
      <c r="H109" s="227">
        <v>0</v>
      </c>
      <c r="I109" s="227">
        <v>0</v>
      </c>
      <c r="J109" s="232">
        <f t="shared" si="47"/>
        <v>0</v>
      </c>
      <c r="K109" s="220">
        <f>J109-'Start-Up Budget'!D109</f>
        <v>0</v>
      </c>
      <c r="L109" s="80"/>
      <c r="M109" s="282"/>
      <c r="N109" s="227">
        <v>0</v>
      </c>
      <c r="O109" s="227">
        <v>0</v>
      </c>
      <c r="P109" s="227">
        <v>0</v>
      </c>
      <c r="Q109" s="227">
        <v>0</v>
      </c>
      <c r="R109" s="227">
        <v>0</v>
      </c>
      <c r="S109" s="227">
        <v>0</v>
      </c>
      <c r="T109" s="227">
        <v>0</v>
      </c>
      <c r="U109" s="227">
        <v>0</v>
      </c>
      <c r="V109" s="227">
        <v>0</v>
      </c>
      <c r="W109" s="227">
        <v>0</v>
      </c>
      <c r="X109" s="227">
        <v>0</v>
      </c>
      <c r="Y109" s="227">
        <v>0</v>
      </c>
      <c r="Z109" s="294">
        <v>0</v>
      </c>
      <c r="AA109" s="232">
        <f t="shared" si="48"/>
        <v>0</v>
      </c>
      <c r="AB109" s="218">
        <f>AA109-'5 YR Budget'!D109</f>
        <v>0</v>
      </c>
      <c r="AD109" s="221"/>
    </row>
    <row r="110" spans="2:30" s="54" customFormat="1" ht="15" customHeight="1">
      <c r="B110" s="94" t="str">
        <f>Assumptions!C111</f>
        <v>Therapists &amp; Counselors</v>
      </c>
      <c r="C110" s="53"/>
      <c r="D110" s="227">
        <v>0</v>
      </c>
      <c r="E110" s="227">
        <v>0</v>
      </c>
      <c r="F110" s="227">
        <v>0</v>
      </c>
      <c r="G110" s="227">
        <v>0</v>
      </c>
      <c r="H110" s="227">
        <v>0</v>
      </c>
      <c r="I110" s="227">
        <v>0</v>
      </c>
      <c r="J110" s="232">
        <f t="shared" si="47"/>
        <v>0</v>
      </c>
      <c r="K110" s="220">
        <f>J110-'Start-Up Budget'!D110</f>
        <v>0</v>
      </c>
      <c r="L110" s="80"/>
      <c r="M110" s="282"/>
      <c r="N110" s="227">
        <v>0</v>
      </c>
      <c r="O110" s="227">
        <v>0</v>
      </c>
      <c r="P110" s="227">
        <v>0</v>
      </c>
      <c r="Q110" s="227">
        <v>0</v>
      </c>
      <c r="R110" s="227">
        <v>0</v>
      </c>
      <c r="S110" s="227">
        <v>0</v>
      </c>
      <c r="T110" s="227">
        <v>0</v>
      </c>
      <c r="U110" s="227">
        <v>0</v>
      </c>
      <c r="V110" s="227">
        <v>0</v>
      </c>
      <c r="W110" s="227">
        <v>0</v>
      </c>
      <c r="X110" s="227">
        <v>0</v>
      </c>
      <c r="Y110" s="227">
        <v>0</v>
      </c>
      <c r="Z110" s="294">
        <v>0</v>
      </c>
      <c r="AA110" s="232">
        <f t="shared" si="48"/>
        <v>0</v>
      </c>
      <c r="AB110" s="218">
        <f>AA110-'5 YR Budget'!D110</f>
        <v>0</v>
      </c>
      <c r="AD110" s="221"/>
    </row>
    <row r="111" spans="2:30" s="54" customFormat="1" ht="15" customHeight="1">
      <c r="B111" s="94" t="str">
        <f>Assumptions!C112</f>
        <v xml:space="preserve">Other - Instructional </v>
      </c>
      <c r="C111" s="53"/>
      <c r="D111" s="227">
        <v>0</v>
      </c>
      <c r="E111" s="227">
        <v>0</v>
      </c>
      <c r="F111" s="227">
        <v>0</v>
      </c>
      <c r="G111" s="227">
        <v>0</v>
      </c>
      <c r="H111" s="227">
        <v>0</v>
      </c>
      <c r="I111" s="227">
        <v>0</v>
      </c>
      <c r="J111" s="232">
        <f t="shared" si="47"/>
        <v>0</v>
      </c>
      <c r="K111" s="220">
        <f>J111-'Start-Up Budget'!D111</f>
        <v>0</v>
      </c>
      <c r="L111" s="80"/>
      <c r="M111" s="282"/>
      <c r="N111" s="227">
        <v>0</v>
      </c>
      <c r="O111" s="227">
        <v>0</v>
      </c>
      <c r="P111" s="227">
        <v>0</v>
      </c>
      <c r="Q111" s="227">
        <v>0</v>
      </c>
      <c r="R111" s="227">
        <v>0</v>
      </c>
      <c r="S111" s="227">
        <v>0</v>
      </c>
      <c r="T111" s="227">
        <v>0</v>
      </c>
      <c r="U111" s="227">
        <v>0</v>
      </c>
      <c r="V111" s="227">
        <v>0</v>
      </c>
      <c r="W111" s="227">
        <v>0</v>
      </c>
      <c r="X111" s="227">
        <v>0</v>
      </c>
      <c r="Y111" s="227">
        <v>0</v>
      </c>
      <c r="Z111" s="294">
        <v>0</v>
      </c>
      <c r="AA111" s="232">
        <f t="shared" si="48"/>
        <v>0</v>
      </c>
      <c r="AB111" s="218">
        <f>AA111-'5 YR Budget'!D111</f>
        <v>0</v>
      </c>
      <c r="AD111" s="221"/>
    </row>
    <row r="112" spans="2:30" s="54" customFormat="1" ht="15" customHeight="1" thickBot="1">
      <c r="B112" s="81" t="str">
        <f>Assumptions!C113</f>
        <v>TOTAL INSTRUCTIONAL PERSONNEL COSTS</v>
      </c>
      <c r="C112" s="53"/>
      <c r="D112" s="95">
        <f t="shared" ref="D112:J112" si="49">SUM(D104:D111)</f>
        <v>0</v>
      </c>
      <c r="E112" s="95">
        <f t="shared" si="49"/>
        <v>0</v>
      </c>
      <c r="F112" s="95">
        <f t="shared" si="49"/>
        <v>0</v>
      </c>
      <c r="G112" s="95">
        <f t="shared" si="49"/>
        <v>0</v>
      </c>
      <c r="H112" s="95">
        <f t="shared" si="49"/>
        <v>0</v>
      </c>
      <c r="I112" s="95">
        <f t="shared" si="49"/>
        <v>0</v>
      </c>
      <c r="J112" s="231">
        <f t="shared" si="49"/>
        <v>0</v>
      </c>
      <c r="K112" s="220">
        <f>J112-'Start-Up Budget'!D112</f>
        <v>0</v>
      </c>
      <c r="L112" s="80"/>
      <c r="M112" s="282"/>
      <c r="N112" s="246">
        <f t="shared" ref="N112:S112" si="50">SUM(N104:N111)</f>
        <v>0</v>
      </c>
      <c r="O112" s="95">
        <f t="shared" si="50"/>
        <v>0</v>
      </c>
      <c r="P112" s="95">
        <f t="shared" si="50"/>
        <v>0</v>
      </c>
      <c r="Q112" s="95">
        <f t="shared" si="50"/>
        <v>0</v>
      </c>
      <c r="R112" s="95">
        <f t="shared" si="50"/>
        <v>0</v>
      </c>
      <c r="S112" s="95">
        <f t="shared" si="50"/>
        <v>0</v>
      </c>
      <c r="T112" s="95">
        <f t="shared" ref="T112:AA112" si="51">SUM(T104:T111)</f>
        <v>0</v>
      </c>
      <c r="U112" s="95">
        <f t="shared" si="51"/>
        <v>0</v>
      </c>
      <c r="V112" s="95">
        <f t="shared" si="51"/>
        <v>0</v>
      </c>
      <c r="W112" s="95">
        <f t="shared" si="51"/>
        <v>0</v>
      </c>
      <c r="X112" s="95">
        <f t="shared" si="51"/>
        <v>0</v>
      </c>
      <c r="Y112" s="95">
        <f t="shared" si="51"/>
        <v>0</v>
      </c>
      <c r="Z112" s="95">
        <f t="shared" si="51"/>
        <v>0</v>
      </c>
      <c r="AA112" s="231">
        <f t="shared" si="51"/>
        <v>0</v>
      </c>
      <c r="AB112" s="218">
        <f>AA112-'5 YR Budget'!D112</f>
        <v>0</v>
      </c>
      <c r="AD112" s="221"/>
    </row>
    <row r="113" spans="2:30" s="54" customFormat="1" ht="6" customHeight="1" thickTop="1">
      <c r="B113" s="81"/>
      <c r="C113" s="53"/>
      <c r="D113" s="88"/>
      <c r="E113" s="88"/>
      <c r="F113" s="88"/>
      <c r="G113" s="88"/>
      <c r="H113" s="88"/>
      <c r="I113" s="88"/>
      <c r="J113" s="88"/>
      <c r="K113" s="235"/>
      <c r="L113" s="80"/>
      <c r="M113" s="282"/>
      <c r="N113" s="88"/>
      <c r="O113" s="88"/>
      <c r="P113" s="88"/>
      <c r="Q113" s="88"/>
      <c r="R113" s="88"/>
      <c r="S113" s="88"/>
      <c r="T113" s="88"/>
      <c r="U113" s="88"/>
      <c r="V113" s="88"/>
      <c r="W113" s="88"/>
      <c r="X113" s="88"/>
      <c r="Y113" s="88"/>
      <c r="Z113" s="88"/>
      <c r="AA113" s="88"/>
      <c r="AB113" s="88"/>
      <c r="AD113" s="221"/>
    </row>
    <row r="114" spans="2:30" s="54" customFormat="1" ht="15" customHeight="1">
      <c r="B114" s="81" t="str">
        <f>Assumptions!C115</f>
        <v>NON-INSTRUCTIONAL PERSONNEL COSTS</v>
      </c>
      <c r="C114" s="53"/>
      <c r="D114" s="57"/>
      <c r="E114" s="57"/>
      <c r="F114" s="57"/>
      <c r="G114" s="57"/>
      <c r="H114" s="57"/>
      <c r="I114" s="57"/>
      <c r="J114" s="57"/>
      <c r="K114" s="79"/>
      <c r="L114" s="80"/>
      <c r="M114" s="282"/>
      <c r="N114" s="57"/>
      <c r="O114" s="57"/>
      <c r="P114" s="57"/>
      <c r="Q114" s="57"/>
      <c r="R114" s="57"/>
      <c r="S114" s="57"/>
      <c r="T114" s="57"/>
      <c r="U114" s="57"/>
      <c r="V114" s="57"/>
      <c r="W114" s="57"/>
      <c r="X114" s="57"/>
      <c r="Y114" s="57"/>
      <c r="Z114" s="57"/>
      <c r="AA114" s="57"/>
      <c r="AB114" s="57"/>
      <c r="AD114" s="221"/>
    </row>
    <row r="115" spans="2:30" s="54" customFormat="1" ht="15" customHeight="1">
      <c r="B115" s="83" t="str">
        <f>Assumptions!C116</f>
        <v>Nurse</v>
      </c>
      <c r="C115" s="53"/>
      <c r="D115" s="227">
        <v>0</v>
      </c>
      <c r="E115" s="227">
        <v>0</v>
      </c>
      <c r="F115" s="227">
        <v>0</v>
      </c>
      <c r="G115" s="227">
        <v>0</v>
      </c>
      <c r="H115" s="227">
        <v>0</v>
      </c>
      <c r="I115" s="227">
        <v>0</v>
      </c>
      <c r="J115" s="232">
        <f>SUM(D115:I115)</f>
        <v>0</v>
      </c>
      <c r="K115" s="220">
        <f>J115-'Start-Up Budget'!D115</f>
        <v>0</v>
      </c>
      <c r="L115" s="80"/>
      <c r="M115" s="282"/>
      <c r="N115" s="227">
        <v>0</v>
      </c>
      <c r="O115" s="227">
        <v>0</v>
      </c>
      <c r="P115" s="227">
        <v>0</v>
      </c>
      <c r="Q115" s="227">
        <v>0</v>
      </c>
      <c r="R115" s="227">
        <v>0</v>
      </c>
      <c r="S115" s="227">
        <v>0</v>
      </c>
      <c r="T115" s="227">
        <v>0</v>
      </c>
      <c r="U115" s="227">
        <v>0</v>
      </c>
      <c r="V115" s="227">
        <v>0</v>
      </c>
      <c r="W115" s="227">
        <v>0</v>
      </c>
      <c r="X115" s="227">
        <v>0</v>
      </c>
      <c r="Y115" s="227">
        <v>0</v>
      </c>
      <c r="Z115" s="294">
        <v>0</v>
      </c>
      <c r="AA115" s="232">
        <f>SUM(N115:Z115)</f>
        <v>0</v>
      </c>
      <c r="AB115" s="218">
        <f>AA115-'5 YR Budget'!D115</f>
        <v>0</v>
      </c>
      <c r="AD115" s="221"/>
    </row>
    <row r="116" spans="2:30" s="54" customFormat="1" ht="15" customHeight="1">
      <c r="B116" s="83" t="str">
        <f>Assumptions!C117</f>
        <v>Librarian</v>
      </c>
      <c r="C116" s="53"/>
      <c r="D116" s="227">
        <v>0</v>
      </c>
      <c r="E116" s="227">
        <v>0</v>
      </c>
      <c r="F116" s="227">
        <v>0</v>
      </c>
      <c r="G116" s="227">
        <v>0</v>
      </c>
      <c r="H116" s="227">
        <v>0</v>
      </c>
      <c r="I116" s="227">
        <v>0</v>
      </c>
      <c r="J116" s="232">
        <f>SUM(D116:I116)</f>
        <v>0</v>
      </c>
      <c r="K116" s="220">
        <f>J116-'Start-Up Budget'!D116</f>
        <v>0</v>
      </c>
      <c r="L116" s="80"/>
      <c r="M116" s="282"/>
      <c r="N116" s="227">
        <v>0</v>
      </c>
      <c r="O116" s="227">
        <v>0</v>
      </c>
      <c r="P116" s="227">
        <v>0</v>
      </c>
      <c r="Q116" s="227">
        <v>0</v>
      </c>
      <c r="R116" s="227">
        <v>0</v>
      </c>
      <c r="S116" s="227">
        <v>0</v>
      </c>
      <c r="T116" s="227">
        <v>0</v>
      </c>
      <c r="U116" s="227">
        <v>0</v>
      </c>
      <c r="V116" s="227">
        <v>0</v>
      </c>
      <c r="W116" s="227">
        <v>0</v>
      </c>
      <c r="X116" s="227">
        <v>0</v>
      </c>
      <c r="Y116" s="227">
        <v>0</v>
      </c>
      <c r="Z116" s="294">
        <v>0</v>
      </c>
      <c r="AA116" s="232">
        <f>SUM(N116:Z116)</f>
        <v>0</v>
      </c>
      <c r="AB116" s="218">
        <f>AA116-'5 YR Budget'!D116</f>
        <v>0</v>
      </c>
      <c r="AD116" s="221"/>
    </row>
    <row r="117" spans="2:30" s="54" customFormat="1" ht="15" customHeight="1">
      <c r="B117" s="83" t="str">
        <f>Assumptions!C118</f>
        <v>Custodian</v>
      </c>
      <c r="C117" s="53"/>
      <c r="D117" s="227">
        <v>0</v>
      </c>
      <c r="E117" s="227">
        <v>0</v>
      </c>
      <c r="F117" s="227">
        <v>0</v>
      </c>
      <c r="G117" s="227">
        <v>0</v>
      </c>
      <c r="H117" s="227">
        <v>0</v>
      </c>
      <c r="I117" s="227">
        <v>0</v>
      </c>
      <c r="J117" s="232">
        <f>SUM(D117:I117)</f>
        <v>0</v>
      </c>
      <c r="K117" s="220">
        <f>J117-'Start-Up Budget'!D117</f>
        <v>0</v>
      </c>
      <c r="L117" s="80"/>
      <c r="M117" s="282"/>
      <c r="N117" s="227">
        <v>0</v>
      </c>
      <c r="O117" s="227">
        <v>0</v>
      </c>
      <c r="P117" s="227">
        <v>0</v>
      </c>
      <c r="Q117" s="227">
        <v>0</v>
      </c>
      <c r="R117" s="227">
        <v>0</v>
      </c>
      <c r="S117" s="227">
        <v>0</v>
      </c>
      <c r="T117" s="227">
        <v>0</v>
      </c>
      <c r="U117" s="227">
        <v>0</v>
      </c>
      <c r="V117" s="227">
        <v>0</v>
      </c>
      <c r="W117" s="227">
        <v>0</v>
      </c>
      <c r="X117" s="227">
        <v>0</v>
      </c>
      <c r="Y117" s="227">
        <v>0</v>
      </c>
      <c r="Z117" s="294">
        <v>0</v>
      </c>
      <c r="AA117" s="232">
        <f>SUM(N117:Z117)</f>
        <v>0</v>
      </c>
      <c r="AB117" s="218">
        <f>AA117-'5 YR Budget'!D117</f>
        <v>0</v>
      </c>
      <c r="AD117" s="221"/>
    </row>
    <row r="118" spans="2:30" s="54" customFormat="1" ht="15" customHeight="1">
      <c r="B118" s="83" t="str">
        <f>Assumptions!C119</f>
        <v>Security</v>
      </c>
      <c r="C118" s="53"/>
      <c r="D118" s="227">
        <v>0</v>
      </c>
      <c r="E118" s="227">
        <v>0</v>
      </c>
      <c r="F118" s="227">
        <v>0</v>
      </c>
      <c r="G118" s="227">
        <v>0</v>
      </c>
      <c r="H118" s="227">
        <v>0</v>
      </c>
      <c r="I118" s="227">
        <v>0</v>
      </c>
      <c r="J118" s="232">
        <f>SUM(D118:I118)</f>
        <v>0</v>
      </c>
      <c r="K118" s="220">
        <f>J118-'Start-Up Budget'!D118</f>
        <v>0</v>
      </c>
      <c r="L118" s="80"/>
      <c r="M118" s="282"/>
      <c r="N118" s="227">
        <v>0</v>
      </c>
      <c r="O118" s="227">
        <v>0</v>
      </c>
      <c r="P118" s="227">
        <v>0</v>
      </c>
      <c r="Q118" s="227">
        <v>0</v>
      </c>
      <c r="R118" s="227">
        <v>0</v>
      </c>
      <c r="S118" s="227">
        <v>0</v>
      </c>
      <c r="T118" s="227">
        <v>0</v>
      </c>
      <c r="U118" s="227">
        <v>0</v>
      </c>
      <c r="V118" s="227">
        <v>0</v>
      </c>
      <c r="W118" s="227">
        <v>0</v>
      </c>
      <c r="X118" s="227">
        <v>0</v>
      </c>
      <c r="Y118" s="227">
        <v>0</v>
      </c>
      <c r="Z118" s="294">
        <v>0</v>
      </c>
      <c r="AA118" s="232">
        <f>SUM(N118:Z118)</f>
        <v>0</v>
      </c>
      <c r="AB118" s="218">
        <f>AA118-'5 YR Budget'!D118</f>
        <v>0</v>
      </c>
      <c r="AD118" s="221"/>
    </row>
    <row r="119" spans="2:30" s="54" customFormat="1" ht="15" customHeight="1">
      <c r="B119" s="83" t="str">
        <f>Assumptions!C120</f>
        <v xml:space="preserve">Other - Non-Instructional </v>
      </c>
      <c r="C119" s="53"/>
      <c r="D119" s="227">
        <v>0</v>
      </c>
      <c r="E119" s="227">
        <v>0</v>
      </c>
      <c r="F119" s="227">
        <v>0</v>
      </c>
      <c r="G119" s="227">
        <v>0</v>
      </c>
      <c r="H119" s="227">
        <v>0</v>
      </c>
      <c r="I119" s="227">
        <v>0</v>
      </c>
      <c r="J119" s="232">
        <f>SUM(D119:I119)</f>
        <v>0</v>
      </c>
      <c r="K119" s="220">
        <f>J119-'Start-Up Budget'!D119</f>
        <v>0</v>
      </c>
      <c r="L119" s="80"/>
      <c r="M119" s="282"/>
      <c r="N119" s="227">
        <v>0</v>
      </c>
      <c r="O119" s="227">
        <v>0</v>
      </c>
      <c r="P119" s="227">
        <v>0</v>
      </c>
      <c r="Q119" s="227">
        <v>0</v>
      </c>
      <c r="R119" s="227">
        <v>0</v>
      </c>
      <c r="S119" s="227">
        <v>0</v>
      </c>
      <c r="T119" s="227">
        <v>0</v>
      </c>
      <c r="U119" s="227">
        <v>0</v>
      </c>
      <c r="V119" s="227">
        <v>0</v>
      </c>
      <c r="W119" s="227">
        <v>0</v>
      </c>
      <c r="X119" s="227">
        <v>0</v>
      </c>
      <c r="Y119" s="227">
        <v>0</v>
      </c>
      <c r="Z119" s="294">
        <v>0</v>
      </c>
      <c r="AA119" s="232">
        <f>SUM(N119:Z119)</f>
        <v>0</v>
      </c>
      <c r="AB119" s="218">
        <f>AA119-'5 YR Budget'!D119</f>
        <v>0</v>
      </c>
      <c r="AD119" s="221"/>
    </row>
    <row r="120" spans="2:30" s="54" customFormat="1" ht="15" customHeight="1" thickBot="1">
      <c r="B120" s="81" t="str">
        <f>Assumptions!C121</f>
        <v>TOTAL NON-INSTRUCTIONAL PERSONNEL COSTS</v>
      </c>
      <c r="C120" s="53"/>
      <c r="D120" s="95">
        <f t="shared" ref="D120:J120" si="52">SUM(D115:D119)</f>
        <v>0</v>
      </c>
      <c r="E120" s="95">
        <f t="shared" si="52"/>
        <v>0</v>
      </c>
      <c r="F120" s="95">
        <f t="shared" si="52"/>
        <v>0</v>
      </c>
      <c r="G120" s="95">
        <f t="shared" si="52"/>
        <v>0</v>
      </c>
      <c r="H120" s="95">
        <f t="shared" si="52"/>
        <v>0</v>
      </c>
      <c r="I120" s="95">
        <f t="shared" si="52"/>
        <v>0</v>
      </c>
      <c r="J120" s="231">
        <f t="shared" si="52"/>
        <v>0</v>
      </c>
      <c r="K120" s="220">
        <f>J120-'Start-Up Budget'!D120</f>
        <v>0</v>
      </c>
      <c r="L120" s="80"/>
      <c r="M120" s="282"/>
      <c r="N120" s="246">
        <f t="shared" ref="N120:S120" si="53">SUM(N115:N119)</f>
        <v>0</v>
      </c>
      <c r="O120" s="95">
        <f t="shared" si="53"/>
        <v>0</v>
      </c>
      <c r="P120" s="95">
        <f t="shared" si="53"/>
        <v>0</v>
      </c>
      <c r="Q120" s="95">
        <f t="shared" si="53"/>
        <v>0</v>
      </c>
      <c r="R120" s="95">
        <f t="shared" si="53"/>
        <v>0</v>
      </c>
      <c r="S120" s="95">
        <f t="shared" si="53"/>
        <v>0</v>
      </c>
      <c r="T120" s="95">
        <f t="shared" ref="T120:AA120" si="54">SUM(T115:T119)</f>
        <v>0</v>
      </c>
      <c r="U120" s="95">
        <f t="shared" si="54"/>
        <v>0</v>
      </c>
      <c r="V120" s="95">
        <f t="shared" si="54"/>
        <v>0</v>
      </c>
      <c r="W120" s="95">
        <f t="shared" si="54"/>
        <v>0</v>
      </c>
      <c r="X120" s="95">
        <f t="shared" si="54"/>
        <v>0</v>
      </c>
      <c r="Y120" s="95">
        <f t="shared" si="54"/>
        <v>0</v>
      </c>
      <c r="Z120" s="95">
        <f t="shared" ref="Z120" si="55">SUM(Z115:Z119)</f>
        <v>0</v>
      </c>
      <c r="AA120" s="231">
        <f t="shared" si="54"/>
        <v>0</v>
      </c>
      <c r="AB120" s="218">
        <f>AA120-'5 YR Budget'!D120</f>
        <v>0</v>
      </c>
      <c r="AD120" s="221"/>
    </row>
    <row r="121" spans="2:30" s="54" customFormat="1" ht="6" customHeight="1" thickTop="1">
      <c r="B121" s="81"/>
      <c r="C121" s="53"/>
      <c r="D121" s="96"/>
      <c r="E121" s="96"/>
      <c r="F121" s="96"/>
      <c r="G121" s="96"/>
      <c r="H121" s="96"/>
      <c r="I121" s="96"/>
      <c r="J121" s="96"/>
      <c r="K121" s="234"/>
      <c r="L121" s="80"/>
      <c r="M121" s="282"/>
      <c r="N121" s="96"/>
      <c r="O121" s="96"/>
      <c r="P121" s="96"/>
      <c r="Q121" s="96"/>
      <c r="R121" s="96"/>
      <c r="S121" s="96"/>
      <c r="T121" s="96"/>
      <c r="U121" s="96"/>
      <c r="V121" s="96"/>
      <c r="W121" s="96"/>
      <c r="X121" s="96"/>
      <c r="Y121" s="96"/>
      <c r="Z121" s="96"/>
      <c r="AA121" s="96"/>
      <c r="AB121" s="96"/>
      <c r="AD121" s="221"/>
    </row>
    <row r="122" spans="2:30" s="54" customFormat="1" ht="15" customHeight="1" thickBot="1">
      <c r="B122" s="81" t="str">
        <f>Assumptions!C123</f>
        <v>TOTAL PERSONNEL EXPENSES</v>
      </c>
      <c r="C122" s="53"/>
      <c r="D122" s="231">
        <f t="shared" ref="D122:I122" si="56">D101+D112+D120</f>
        <v>0</v>
      </c>
      <c r="E122" s="231">
        <f t="shared" si="56"/>
        <v>0</v>
      </c>
      <c r="F122" s="231">
        <f t="shared" si="56"/>
        <v>0</v>
      </c>
      <c r="G122" s="231">
        <f t="shared" si="56"/>
        <v>0</v>
      </c>
      <c r="H122" s="231">
        <f t="shared" si="56"/>
        <v>0</v>
      </c>
      <c r="I122" s="231">
        <f t="shared" si="56"/>
        <v>0</v>
      </c>
      <c r="J122" s="231">
        <f>J101+J112+J120</f>
        <v>0</v>
      </c>
      <c r="K122" s="220">
        <f>J122-'Start-Up Budget'!D122</f>
        <v>0</v>
      </c>
      <c r="L122" s="336"/>
      <c r="M122" s="282"/>
      <c r="N122" s="337">
        <f t="shared" ref="N122:S122" si="57">N101+N112+N120</f>
        <v>0</v>
      </c>
      <c r="O122" s="231">
        <f t="shared" si="57"/>
        <v>0</v>
      </c>
      <c r="P122" s="231">
        <f t="shared" si="57"/>
        <v>0</v>
      </c>
      <c r="Q122" s="231">
        <f t="shared" si="57"/>
        <v>0</v>
      </c>
      <c r="R122" s="231">
        <f t="shared" si="57"/>
        <v>0</v>
      </c>
      <c r="S122" s="231">
        <f t="shared" si="57"/>
        <v>0</v>
      </c>
      <c r="T122" s="231">
        <f t="shared" ref="T122:AA122" si="58">T101+T112+T120</f>
        <v>0</v>
      </c>
      <c r="U122" s="231">
        <f t="shared" si="58"/>
        <v>0</v>
      </c>
      <c r="V122" s="231">
        <f t="shared" si="58"/>
        <v>0</v>
      </c>
      <c r="W122" s="231">
        <f t="shared" si="58"/>
        <v>0</v>
      </c>
      <c r="X122" s="231">
        <f t="shared" si="58"/>
        <v>0</v>
      </c>
      <c r="Y122" s="231">
        <f t="shared" si="58"/>
        <v>0</v>
      </c>
      <c r="Z122" s="231">
        <f t="shared" ref="Z122" si="59">Z101+Z112+Z120</f>
        <v>0</v>
      </c>
      <c r="AA122" s="231">
        <f t="shared" si="58"/>
        <v>0</v>
      </c>
      <c r="AB122" s="218">
        <f>AA122-'5 YR Budget'!D122</f>
        <v>0</v>
      </c>
      <c r="AD122" s="221"/>
    </row>
    <row r="123" spans="2:30" s="54" customFormat="1" ht="6" customHeight="1" thickTop="1">
      <c r="B123" s="81"/>
      <c r="C123" s="53"/>
      <c r="D123" s="88"/>
      <c r="E123" s="88"/>
      <c r="F123" s="88"/>
      <c r="G123" s="88"/>
      <c r="H123" s="88"/>
      <c r="I123" s="88"/>
      <c r="J123" s="88"/>
      <c r="K123" s="235"/>
      <c r="L123" s="80"/>
      <c r="M123" s="282"/>
      <c r="N123" s="88"/>
      <c r="O123" s="88"/>
      <c r="P123" s="88"/>
      <c r="Q123" s="88"/>
      <c r="R123" s="88"/>
      <c r="S123" s="88"/>
      <c r="T123" s="88"/>
      <c r="U123" s="88"/>
      <c r="V123" s="88"/>
      <c r="W123" s="88"/>
      <c r="X123" s="88"/>
      <c r="Y123" s="88"/>
      <c r="Z123" s="88"/>
      <c r="AA123" s="88"/>
      <c r="AB123" s="88"/>
      <c r="AD123" s="221"/>
    </row>
    <row r="124" spans="2:30" s="54" customFormat="1" ht="15" customHeight="1">
      <c r="B124" s="81" t="str">
        <f>Assumptions!C125</f>
        <v>PAYROLL TAXES AND BENEFITS</v>
      </c>
      <c r="C124" s="53"/>
      <c r="D124" s="57"/>
      <c r="E124" s="57"/>
      <c r="F124" s="57"/>
      <c r="G124" s="57"/>
      <c r="H124" s="57"/>
      <c r="I124" s="57"/>
      <c r="J124" s="57"/>
      <c r="K124" s="79"/>
      <c r="L124" s="80"/>
      <c r="M124" s="282"/>
      <c r="N124" s="57"/>
      <c r="O124" s="57"/>
      <c r="P124" s="57"/>
      <c r="Q124" s="57"/>
      <c r="R124" s="57"/>
      <c r="S124" s="57"/>
      <c r="T124" s="57"/>
      <c r="U124" s="57"/>
      <c r="V124" s="57"/>
      <c r="W124" s="57"/>
      <c r="X124" s="57"/>
      <c r="Y124" s="57"/>
      <c r="Z124" s="57"/>
      <c r="AA124" s="57"/>
      <c r="AB124" s="57"/>
      <c r="AD124" s="221"/>
    </row>
    <row r="125" spans="2:30" s="54" customFormat="1" ht="15" customHeight="1">
      <c r="B125" s="83" t="str">
        <f>Assumptions!C126</f>
        <v>Social Security</v>
      </c>
      <c r="C125" s="53"/>
      <c r="D125" s="227">
        <v>0</v>
      </c>
      <c r="E125" s="227">
        <v>0</v>
      </c>
      <c r="F125" s="227">
        <v>0</v>
      </c>
      <c r="G125" s="227">
        <v>0</v>
      </c>
      <c r="H125" s="227">
        <v>0</v>
      </c>
      <c r="I125" s="227">
        <v>0</v>
      </c>
      <c r="J125" s="232">
        <f t="shared" ref="J125:J137" si="60">SUM(D125:I125)</f>
        <v>0</v>
      </c>
      <c r="K125" s="220">
        <f>J125-'Start-Up Budget'!D125</f>
        <v>0</v>
      </c>
      <c r="L125" s="80"/>
      <c r="M125" s="282"/>
      <c r="N125" s="227">
        <v>0</v>
      </c>
      <c r="O125" s="227">
        <v>0</v>
      </c>
      <c r="P125" s="227">
        <v>0</v>
      </c>
      <c r="Q125" s="227">
        <v>0</v>
      </c>
      <c r="R125" s="227">
        <v>0</v>
      </c>
      <c r="S125" s="227">
        <v>0</v>
      </c>
      <c r="T125" s="227">
        <v>0</v>
      </c>
      <c r="U125" s="227">
        <v>0</v>
      </c>
      <c r="V125" s="227">
        <v>0</v>
      </c>
      <c r="W125" s="227">
        <v>0</v>
      </c>
      <c r="X125" s="227">
        <v>0</v>
      </c>
      <c r="Y125" s="227">
        <v>0</v>
      </c>
      <c r="Z125" s="294">
        <v>0</v>
      </c>
      <c r="AA125" s="232">
        <f t="shared" ref="AA125:AA137" si="61">SUM(N125:Z125)</f>
        <v>0</v>
      </c>
      <c r="AB125" s="218">
        <f>AA125-'5 YR Budget'!D125</f>
        <v>0</v>
      </c>
      <c r="AD125" s="221"/>
    </row>
    <row r="126" spans="2:30" s="54" customFormat="1" ht="15" customHeight="1">
      <c r="B126" s="83" t="str">
        <f>Assumptions!C127</f>
        <v>Medicare</v>
      </c>
      <c r="C126" s="53"/>
      <c r="D126" s="227">
        <v>0</v>
      </c>
      <c r="E126" s="227">
        <v>0</v>
      </c>
      <c r="F126" s="227">
        <v>0</v>
      </c>
      <c r="G126" s="227">
        <v>0</v>
      </c>
      <c r="H126" s="227">
        <v>0</v>
      </c>
      <c r="I126" s="227">
        <v>0</v>
      </c>
      <c r="J126" s="232">
        <f t="shared" si="60"/>
        <v>0</v>
      </c>
      <c r="K126" s="220">
        <f>J126-'Start-Up Budget'!D126</f>
        <v>0</v>
      </c>
      <c r="L126" s="80"/>
      <c r="M126" s="282"/>
      <c r="N126" s="227">
        <v>0</v>
      </c>
      <c r="O126" s="227">
        <v>0</v>
      </c>
      <c r="P126" s="227">
        <v>0</v>
      </c>
      <c r="Q126" s="227">
        <v>0</v>
      </c>
      <c r="R126" s="227">
        <v>0</v>
      </c>
      <c r="S126" s="227">
        <v>0</v>
      </c>
      <c r="T126" s="227">
        <v>0</v>
      </c>
      <c r="U126" s="227">
        <v>0</v>
      </c>
      <c r="V126" s="227">
        <v>0</v>
      </c>
      <c r="W126" s="227">
        <v>0</v>
      </c>
      <c r="X126" s="227">
        <v>0</v>
      </c>
      <c r="Y126" s="227">
        <v>0</v>
      </c>
      <c r="Z126" s="294">
        <v>0</v>
      </c>
      <c r="AA126" s="232">
        <f t="shared" si="61"/>
        <v>0</v>
      </c>
      <c r="AB126" s="218">
        <f>AA126-'5 YR Budget'!D126</f>
        <v>0</v>
      </c>
      <c r="AD126" s="221"/>
    </row>
    <row r="127" spans="2:30" s="54" customFormat="1" ht="15" customHeight="1">
      <c r="B127" s="83" t="str">
        <f>Assumptions!C128</f>
        <v>State Unemployment</v>
      </c>
      <c r="C127" s="53"/>
      <c r="D127" s="227">
        <v>0</v>
      </c>
      <c r="E127" s="227">
        <v>0</v>
      </c>
      <c r="F127" s="227">
        <v>0</v>
      </c>
      <c r="G127" s="227">
        <v>0</v>
      </c>
      <c r="H127" s="227">
        <v>0</v>
      </c>
      <c r="I127" s="227">
        <v>0</v>
      </c>
      <c r="J127" s="232">
        <f t="shared" si="60"/>
        <v>0</v>
      </c>
      <c r="K127" s="220">
        <f>J127-'Start-Up Budget'!D127</f>
        <v>0</v>
      </c>
      <c r="L127" s="80"/>
      <c r="M127" s="282"/>
      <c r="N127" s="227">
        <v>0</v>
      </c>
      <c r="O127" s="227">
        <v>0</v>
      </c>
      <c r="P127" s="227">
        <v>0</v>
      </c>
      <c r="Q127" s="227">
        <v>0</v>
      </c>
      <c r="R127" s="227">
        <v>0</v>
      </c>
      <c r="S127" s="227">
        <v>0</v>
      </c>
      <c r="T127" s="227">
        <v>0</v>
      </c>
      <c r="U127" s="227">
        <v>0</v>
      </c>
      <c r="V127" s="227">
        <v>0</v>
      </c>
      <c r="W127" s="227">
        <v>0</v>
      </c>
      <c r="X127" s="227">
        <v>0</v>
      </c>
      <c r="Y127" s="227">
        <v>0</v>
      </c>
      <c r="Z127" s="294">
        <v>0</v>
      </c>
      <c r="AA127" s="232">
        <f t="shared" si="61"/>
        <v>0</v>
      </c>
      <c r="AB127" s="218">
        <f>AA127-'5 YR Budget'!D127</f>
        <v>0</v>
      </c>
      <c r="AD127" s="221"/>
    </row>
    <row r="128" spans="2:30" s="54" customFormat="1" ht="15" customHeight="1">
      <c r="B128" s="83" t="str">
        <f>Assumptions!C129</f>
        <v>Worker's Compensation Insurance</v>
      </c>
      <c r="C128" s="53"/>
      <c r="D128" s="227">
        <v>0</v>
      </c>
      <c r="E128" s="227">
        <v>0</v>
      </c>
      <c r="F128" s="227">
        <v>0</v>
      </c>
      <c r="G128" s="227">
        <v>0</v>
      </c>
      <c r="H128" s="227">
        <v>0</v>
      </c>
      <c r="I128" s="227">
        <v>0</v>
      </c>
      <c r="J128" s="232">
        <f t="shared" si="60"/>
        <v>0</v>
      </c>
      <c r="K128" s="220">
        <f>J128-'Start-Up Budget'!D128</f>
        <v>0</v>
      </c>
      <c r="L128" s="80"/>
      <c r="M128" s="282"/>
      <c r="N128" s="227">
        <v>0</v>
      </c>
      <c r="O128" s="227">
        <v>0</v>
      </c>
      <c r="P128" s="227">
        <v>0</v>
      </c>
      <c r="Q128" s="227">
        <v>0</v>
      </c>
      <c r="R128" s="227">
        <v>0</v>
      </c>
      <c r="S128" s="227">
        <v>0</v>
      </c>
      <c r="T128" s="227">
        <v>0</v>
      </c>
      <c r="U128" s="227">
        <v>0</v>
      </c>
      <c r="V128" s="227">
        <v>0</v>
      </c>
      <c r="W128" s="227">
        <v>0</v>
      </c>
      <c r="X128" s="227">
        <v>0</v>
      </c>
      <c r="Y128" s="227">
        <v>0</v>
      </c>
      <c r="Z128" s="294">
        <v>0</v>
      </c>
      <c r="AA128" s="232">
        <f t="shared" si="61"/>
        <v>0</v>
      </c>
      <c r="AB128" s="218">
        <f>AA128-'5 YR Budget'!D128</f>
        <v>0</v>
      </c>
      <c r="AD128" s="221"/>
    </row>
    <row r="129" spans="2:30" s="54" customFormat="1" ht="15" customHeight="1">
      <c r="B129" s="83" t="str">
        <f>Assumptions!C130</f>
        <v>Custom Other Tax #1</v>
      </c>
      <c r="C129" s="53"/>
      <c r="D129" s="227">
        <v>0</v>
      </c>
      <c r="E129" s="227">
        <v>0</v>
      </c>
      <c r="F129" s="227">
        <v>0</v>
      </c>
      <c r="G129" s="227">
        <v>0</v>
      </c>
      <c r="H129" s="227">
        <v>0</v>
      </c>
      <c r="I129" s="227">
        <v>0</v>
      </c>
      <c r="J129" s="232">
        <f t="shared" si="60"/>
        <v>0</v>
      </c>
      <c r="K129" s="220">
        <f>J129-'Start-Up Budget'!D129</f>
        <v>0</v>
      </c>
      <c r="L129" s="80"/>
      <c r="M129" s="282"/>
      <c r="N129" s="227">
        <v>0</v>
      </c>
      <c r="O129" s="227">
        <v>0</v>
      </c>
      <c r="P129" s="227">
        <v>0</v>
      </c>
      <c r="Q129" s="227">
        <v>0</v>
      </c>
      <c r="R129" s="227">
        <v>0</v>
      </c>
      <c r="S129" s="227">
        <v>0</v>
      </c>
      <c r="T129" s="227">
        <v>0</v>
      </c>
      <c r="U129" s="227">
        <v>0</v>
      </c>
      <c r="V129" s="227">
        <v>0</v>
      </c>
      <c r="W129" s="227">
        <v>0</v>
      </c>
      <c r="X129" s="227">
        <v>0</v>
      </c>
      <c r="Y129" s="227">
        <v>0</v>
      </c>
      <c r="Z129" s="294">
        <v>0</v>
      </c>
      <c r="AA129" s="232">
        <f t="shared" si="61"/>
        <v>0</v>
      </c>
      <c r="AB129" s="218">
        <f>AA129-'5 YR Budget'!D129</f>
        <v>0</v>
      </c>
      <c r="AD129" s="221"/>
    </row>
    <row r="130" spans="2:30" s="54" customFormat="1" ht="15" customHeight="1">
      <c r="B130" s="83" t="str">
        <f>Assumptions!C131</f>
        <v>Custom Other Tax #2</v>
      </c>
      <c r="C130" s="53"/>
      <c r="D130" s="227">
        <v>0</v>
      </c>
      <c r="E130" s="227">
        <v>0</v>
      </c>
      <c r="F130" s="227">
        <v>0</v>
      </c>
      <c r="G130" s="227">
        <v>0</v>
      </c>
      <c r="H130" s="227">
        <v>0</v>
      </c>
      <c r="I130" s="227">
        <v>0</v>
      </c>
      <c r="J130" s="232">
        <f t="shared" si="60"/>
        <v>0</v>
      </c>
      <c r="K130" s="220">
        <f>J130-'Start-Up Budget'!D130</f>
        <v>0</v>
      </c>
      <c r="L130" s="80"/>
      <c r="M130" s="282"/>
      <c r="N130" s="227">
        <v>0</v>
      </c>
      <c r="O130" s="227">
        <v>0</v>
      </c>
      <c r="P130" s="227">
        <v>0</v>
      </c>
      <c r="Q130" s="227">
        <v>0</v>
      </c>
      <c r="R130" s="227">
        <v>0</v>
      </c>
      <c r="S130" s="227">
        <v>0</v>
      </c>
      <c r="T130" s="227">
        <v>0</v>
      </c>
      <c r="U130" s="227">
        <v>0</v>
      </c>
      <c r="V130" s="227">
        <v>0</v>
      </c>
      <c r="W130" s="227">
        <v>0</v>
      </c>
      <c r="X130" s="227">
        <v>0</v>
      </c>
      <c r="Y130" s="227">
        <v>0</v>
      </c>
      <c r="Z130" s="294">
        <v>0</v>
      </c>
      <c r="AA130" s="232">
        <f t="shared" si="61"/>
        <v>0</v>
      </c>
      <c r="AB130" s="218">
        <f>AA130-'5 YR Budget'!D130</f>
        <v>0</v>
      </c>
      <c r="AD130" s="221"/>
    </row>
    <row r="131" spans="2:30" s="54" customFormat="1" ht="15" customHeight="1">
      <c r="B131" s="83" t="str">
        <f>Assumptions!C132</f>
        <v>Health Insurance</v>
      </c>
      <c r="C131" s="53"/>
      <c r="D131" s="227">
        <v>0</v>
      </c>
      <c r="E131" s="227">
        <v>0</v>
      </c>
      <c r="F131" s="227">
        <v>0</v>
      </c>
      <c r="G131" s="227">
        <v>0</v>
      </c>
      <c r="H131" s="227">
        <v>0</v>
      </c>
      <c r="I131" s="227">
        <v>0</v>
      </c>
      <c r="J131" s="232">
        <f t="shared" si="60"/>
        <v>0</v>
      </c>
      <c r="K131" s="220">
        <f>J131-'Start-Up Budget'!D131</f>
        <v>0</v>
      </c>
      <c r="L131" s="80"/>
      <c r="M131" s="282"/>
      <c r="N131" s="227">
        <v>0</v>
      </c>
      <c r="O131" s="227">
        <v>0</v>
      </c>
      <c r="P131" s="227">
        <v>0</v>
      </c>
      <c r="Q131" s="227">
        <v>0</v>
      </c>
      <c r="R131" s="227">
        <v>0</v>
      </c>
      <c r="S131" s="227">
        <v>0</v>
      </c>
      <c r="T131" s="227">
        <v>0</v>
      </c>
      <c r="U131" s="227">
        <v>0</v>
      </c>
      <c r="V131" s="227">
        <v>0</v>
      </c>
      <c r="W131" s="227">
        <v>0</v>
      </c>
      <c r="X131" s="227">
        <v>0</v>
      </c>
      <c r="Y131" s="227">
        <v>0</v>
      </c>
      <c r="Z131" s="294">
        <v>0</v>
      </c>
      <c r="AA131" s="232">
        <f t="shared" si="61"/>
        <v>0</v>
      </c>
      <c r="AB131" s="218">
        <f>AA131-'5 YR Budget'!D131</f>
        <v>0</v>
      </c>
      <c r="AD131" s="221"/>
    </row>
    <row r="132" spans="2:30" s="54" customFormat="1" ht="15" customHeight="1">
      <c r="B132" s="83" t="str">
        <f>Assumptions!C133</f>
        <v>Dental Insurance</v>
      </c>
      <c r="C132" s="53"/>
      <c r="D132" s="227">
        <v>0</v>
      </c>
      <c r="E132" s="227">
        <v>0</v>
      </c>
      <c r="F132" s="227">
        <v>0</v>
      </c>
      <c r="G132" s="227">
        <v>0</v>
      </c>
      <c r="H132" s="227">
        <v>0</v>
      </c>
      <c r="I132" s="227">
        <v>0</v>
      </c>
      <c r="J132" s="232">
        <f t="shared" si="60"/>
        <v>0</v>
      </c>
      <c r="K132" s="220">
        <f>J132-'Start-Up Budget'!D132</f>
        <v>0</v>
      </c>
      <c r="L132" s="80"/>
      <c r="M132" s="282"/>
      <c r="N132" s="227">
        <v>0</v>
      </c>
      <c r="O132" s="227">
        <v>0</v>
      </c>
      <c r="P132" s="227">
        <v>0</v>
      </c>
      <c r="Q132" s="227">
        <v>0</v>
      </c>
      <c r="R132" s="227">
        <v>0</v>
      </c>
      <c r="S132" s="227">
        <v>0</v>
      </c>
      <c r="T132" s="227">
        <v>0</v>
      </c>
      <c r="U132" s="227">
        <v>0</v>
      </c>
      <c r="V132" s="227">
        <v>0</v>
      </c>
      <c r="W132" s="227">
        <v>0</v>
      </c>
      <c r="X132" s="227">
        <v>0</v>
      </c>
      <c r="Y132" s="227">
        <v>0</v>
      </c>
      <c r="Z132" s="294">
        <v>0</v>
      </c>
      <c r="AA132" s="232">
        <f t="shared" si="61"/>
        <v>0</v>
      </c>
      <c r="AB132" s="218">
        <f>AA132-'5 YR Budget'!D132</f>
        <v>0</v>
      </c>
      <c r="AD132" s="221"/>
    </row>
    <row r="133" spans="2:30" s="54" customFormat="1" ht="15" customHeight="1">
      <c r="B133" s="83" t="str">
        <f>Assumptions!C134</f>
        <v>Vision Insurance</v>
      </c>
      <c r="C133" s="53"/>
      <c r="D133" s="227">
        <v>0</v>
      </c>
      <c r="E133" s="227">
        <v>0</v>
      </c>
      <c r="F133" s="227">
        <v>0</v>
      </c>
      <c r="G133" s="227">
        <v>0</v>
      </c>
      <c r="H133" s="227">
        <v>0</v>
      </c>
      <c r="I133" s="227">
        <v>0</v>
      </c>
      <c r="J133" s="232">
        <f t="shared" si="60"/>
        <v>0</v>
      </c>
      <c r="K133" s="220">
        <f>J133-'Start-Up Budget'!D133</f>
        <v>0</v>
      </c>
      <c r="L133" s="80"/>
      <c r="M133" s="282"/>
      <c r="N133" s="227">
        <v>0</v>
      </c>
      <c r="O133" s="227">
        <v>0</v>
      </c>
      <c r="P133" s="227">
        <v>0</v>
      </c>
      <c r="Q133" s="227">
        <v>0</v>
      </c>
      <c r="R133" s="227">
        <v>0</v>
      </c>
      <c r="S133" s="227">
        <v>0</v>
      </c>
      <c r="T133" s="227">
        <v>0</v>
      </c>
      <c r="U133" s="227">
        <v>0</v>
      </c>
      <c r="V133" s="227">
        <v>0</v>
      </c>
      <c r="W133" s="227">
        <v>0</v>
      </c>
      <c r="X133" s="227">
        <v>0</v>
      </c>
      <c r="Y133" s="227">
        <v>0</v>
      </c>
      <c r="Z133" s="294">
        <v>0</v>
      </c>
      <c r="AA133" s="232">
        <f t="shared" si="61"/>
        <v>0</v>
      </c>
      <c r="AB133" s="218">
        <f>AA133-'5 YR Budget'!D133</f>
        <v>0</v>
      </c>
      <c r="AD133" s="221"/>
    </row>
    <row r="134" spans="2:30" s="54" customFormat="1" ht="15" customHeight="1">
      <c r="B134" s="83" t="str">
        <f>Assumptions!C135</f>
        <v>Life Insurance</v>
      </c>
      <c r="C134" s="53"/>
      <c r="D134" s="227">
        <v>0</v>
      </c>
      <c r="E134" s="227">
        <v>0</v>
      </c>
      <c r="F134" s="227">
        <v>0</v>
      </c>
      <c r="G134" s="227">
        <v>0</v>
      </c>
      <c r="H134" s="227">
        <v>0</v>
      </c>
      <c r="I134" s="227">
        <v>0</v>
      </c>
      <c r="J134" s="232">
        <f t="shared" si="60"/>
        <v>0</v>
      </c>
      <c r="K134" s="220">
        <f>J134-'Start-Up Budget'!D134</f>
        <v>0</v>
      </c>
      <c r="L134" s="80"/>
      <c r="M134" s="282"/>
      <c r="N134" s="227">
        <v>0</v>
      </c>
      <c r="O134" s="227">
        <v>0</v>
      </c>
      <c r="P134" s="227">
        <v>0</v>
      </c>
      <c r="Q134" s="227">
        <v>0</v>
      </c>
      <c r="R134" s="227">
        <v>0</v>
      </c>
      <c r="S134" s="227">
        <v>0</v>
      </c>
      <c r="T134" s="227">
        <v>0</v>
      </c>
      <c r="U134" s="227">
        <v>0</v>
      </c>
      <c r="V134" s="227">
        <v>0</v>
      </c>
      <c r="W134" s="227">
        <v>0</v>
      </c>
      <c r="X134" s="227">
        <v>0</v>
      </c>
      <c r="Y134" s="227">
        <v>0</v>
      </c>
      <c r="Z134" s="294">
        <v>0</v>
      </c>
      <c r="AA134" s="232">
        <f t="shared" si="61"/>
        <v>0</v>
      </c>
      <c r="AB134" s="218">
        <f>AA134-'5 YR Budget'!D134</f>
        <v>0</v>
      </c>
      <c r="AD134" s="221"/>
    </row>
    <row r="135" spans="2:30" s="54" customFormat="1" ht="15" customHeight="1">
      <c r="B135" s="83" t="str">
        <f>Assumptions!C136</f>
        <v>Retirement Contribution</v>
      </c>
      <c r="C135" s="53"/>
      <c r="D135" s="227">
        <v>0</v>
      </c>
      <c r="E135" s="227">
        <v>0</v>
      </c>
      <c r="F135" s="227">
        <v>0</v>
      </c>
      <c r="G135" s="227">
        <v>0</v>
      </c>
      <c r="H135" s="227">
        <v>0</v>
      </c>
      <c r="I135" s="227">
        <v>0</v>
      </c>
      <c r="J135" s="232">
        <f t="shared" si="60"/>
        <v>0</v>
      </c>
      <c r="K135" s="220">
        <f>J135-'Start-Up Budget'!D135</f>
        <v>0</v>
      </c>
      <c r="L135" s="80"/>
      <c r="M135" s="282"/>
      <c r="N135" s="227">
        <v>0</v>
      </c>
      <c r="O135" s="227">
        <v>0</v>
      </c>
      <c r="P135" s="227">
        <v>0</v>
      </c>
      <c r="Q135" s="227">
        <v>0</v>
      </c>
      <c r="R135" s="227">
        <v>0</v>
      </c>
      <c r="S135" s="227">
        <v>0</v>
      </c>
      <c r="T135" s="227">
        <v>0</v>
      </c>
      <c r="U135" s="227">
        <v>0</v>
      </c>
      <c r="V135" s="227">
        <v>0</v>
      </c>
      <c r="W135" s="227">
        <v>0</v>
      </c>
      <c r="X135" s="227">
        <v>0</v>
      </c>
      <c r="Y135" s="227">
        <v>0</v>
      </c>
      <c r="Z135" s="294">
        <v>0</v>
      </c>
      <c r="AA135" s="232">
        <f t="shared" si="61"/>
        <v>0</v>
      </c>
      <c r="AB135" s="218">
        <f>AA135-'5 YR Budget'!D135</f>
        <v>0</v>
      </c>
      <c r="AD135" s="221"/>
    </row>
    <row r="136" spans="2:30" s="54" customFormat="1" ht="15" customHeight="1">
      <c r="B136" s="83" t="str">
        <f>Assumptions!C137</f>
        <v>Custom Fringe #1</v>
      </c>
      <c r="C136" s="53"/>
      <c r="D136" s="227">
        <v>0</v>
      </c>
      <c r="E136" s="227">
        <v>0</v>
      </c>
      <c r="F136" s="227">
        <v>0</v>
      </c>
      <c r="G136" s="227">
        <v>0</v>
      </c>
      <c r="H136" s="227">
        <v>0</v>
      </c>
      <c r="I136" s="227">
        <v>0</v>
      </c>
      <c r="J136" s="232">
        <f t="shared" si="60"/>
        <v>0</v>
      </c>
      <c r="K136" s="220">
        <f>J136-'Start-Up Budget'!D136</f>
        <v>0</v>
      </c>
      <c r="L136" s="80"/>
      <c r="M136" s="282"/>
      <c r="N136" s="227">
        <v>0</v>
      </c>
      <c r="O136" s="227">
        <v>0</v>
      </c>
      <c r="P136" s="227">
        <v>0</v>
      </c>
      <c r="Q136" s="227">
        <v>0</v>
      </c>
      <c r="R136" s="227">
        <v>0</v>
      </c>
      <c r="S136" s="227">
        <v>0</v>
      </c>
      <c r="T136" s="227">
        <v>0</v>
      </c>
      <c r="U136" s="227">
        <v>0</v>
      </c>
      <c r="V136" s="227">
        <v>0</v>
      </c>
      <c r="W136" s="227">
        <v>0</v>
      </c>
      <c r="X136" s="227">
        <v>0</v>
      </c>
      <c r="Y136" s="227">
        <v>0</v>
      </c>
      <c r="Z136" s="294">
        <v>0</v>
      </c>
      <c r="AA136" s="232">
        <f t="shared" si="61"/>
        <v>0</v>
      </c>
      <c r="AB136" s="218">
        <f>AA136-'5 YR Budget'!D136</f>
        <v>0</v>
      </c>
      <c r="AD136" s="221"/>
    </row>
    <row r="137" spans="2:30" s="54" customFormat="1" ht="15" customHeight="1">
      <c r="B137" s="83" t="str">
        <f>Assumptions!C138</f>
        <v>Custom Fringe #2</v>
      </c>
      <c r="C137" s="53"/>
      <c r="D137" s="227">
        <v>0</v>
      </c>
      <c r="E137" s="227">
        <v>0</v>
      </c>
      <c r="F137" s="227">
        <v>0</v>
      </c>
      <c r="G137" s="227">
        <v>0</v>
      </c>
      <c r="H137" s="227">
        <v>0</v>
      </c>
      <c r="I137" s="227">
        <v>0</v>
      </c>
      <c r="J137" s="232">
        <f t="shared" si="60"/>
        <v>0</v>
      </c>
      <c r="K137" s="220">
        <f>J137-'Start-Up Budget'!D137</f>
        <v>0</v>
      </c>
      <c r="L137" s="80"/>
      <c r="M137" s="282"/>
      <c r="N137" s="227">
        <v>0</v>
      </c>
      <c r="O137" s="227">
        <v>0</v>
      </c>
      <c r="P137" s="227">
        <v>0</v>
      </c>
      <c r="Q137" s="227">
        <v>0</v>
      </c>
      <c r="R137" s="227">
        <v>0</v>
      </c>
      <c r="S137" s="227">
        <v>0</v>
      </c>
      <c r="T137" s="227">
        <v>0</v>
      </c>
      <c r="U137" s="227">
        <v>0</v>
      </c>
      <c r="V137" s="227">
        <v>0</v>
      </c>
      <c r="W137" s="227">
        <v>0</v>
      </c>
      <c r="X137" s="227">
        <v>0</v>
      </c>
      <c r="Y137" s="227">
        <v>0</v>
      </c>
      <c r="Z137" s="294">
        <v>0</v>
      </c>
      <c r="AA137" s="232">
        <f t="shared" si="61"/>
        <v>0</v>
      </c>
      <c r="AB137" s="218">
        <f>AA137-'5 YR Budget'!D137</f>
        <v>0</v>
      </c>
      <c r="AD137" s="221"/>
    </row>
    <row r="138" spans="2:30" s="54" customFormat="1" ht="15" customHeight="1" thickBot="1">
      <c r="B138" s="81" t="str">
        <f>Assumptions!C139</f>
        <v>TOTAL PAYROLL TAXES AND BENEFITS</v>
      </c>
      <c r="C138" s="53"/>
      <c r="D138" s="87">
        <f t="shared" ref="D138:J138" si="62">SUM(D125:D137)</f>
        <v>0</v>
      </c>
      <c r="E138" s="87">
        <f t="shared" si="62"/>
        <v>0</v>
      </c>
      <c r="F138" s="87">
        <f t="shared" si="62"/>
        <v>0</v>
      </c>
      <c r="G138" s="87">
        <f t="shared" si="62"/>
        <v>0</v>
      </c>
      <c r="H138" s="87">
        <f t="shared" si="62"/>
        <v>0</v>
      </c>
      <c r="I138" s="87">
        <f t="shared" si="62"/>
        <v>0</v>
      </c>
      <c r="J138" s="231">
        <f t="shared" si="62"/>
        <v>0</v>
      </c>
      <c r="K138" s="220">
        <f>J138-'Start-Up Budget'!D138</f>
        <v>0</v>
      </c>
      <c r="L138" s="80"/>
      <c r="M138" s="282"/>
      <c r="N138" s="246">
        <f t="shared" ref="N138:AA138" si="63">SUM(N125:N137)</f>
        <v>0</v>
      </c>
      <c r="O138" s="87">
        <f t="shared" si="63"/>
        <v>0</v>
      </c>
      <c r="P138" s="87">
        <f t="shared" si="63"/>
        <v>0</v>
      </c>
      <c r="Q138" s="87">
        <f t="shared" si="63"/>
        <v>0</v>
      </c>
      <c r="R138" s="87">
        <f t="shared" si="63"/>
        <v>0</v>
      </c>
      <c r="S138" s="87">
        <f t="shared" si="63"/>
        <v>0</v>
      </c>
      <c r="T138" s="87">
        <f t="shared" si="63"/>
        <v>0</v>
      </c>
      <c r="U138" s="87">
        <f t="shared" si="63"/>
        <v>0</v>
      </c>
      <c r="V138" s="87">
        <f t="shared" si="63"/>
        <v>0</v>
      </c>
      <c r="W138" s="87">
        <f t="shared" si="63"/>
        <v>0</v>
      </c>
      <c r="X138" s="87">
        <f t="shared" si="63"/>
        <v>0</v>
      </c>
      <c r="Y138" s="87">
        <f t="shared" si="63"/>
        <v>0</v>
      </c>
      <c r="Z138" s="87">
        <f t="shared" ref="Z138" si="64">SUM(Z125:Z137)</f>
        <v>0</v>
      </c>
      <c r="AA138" s="231">
        <f t="shared" si="63"/>
        <v>0</v>
      </c>
      <c r="AB138" s="218">
        <f>AA138-'5 YR Budget'!D138</f>
        <v>0</v>
      </c>
      <c r="AD138" s="221"/>
    </row>
    <row r="139" spans="2:30" s="54" customFormat="1" ht="6" customHeight="1" thickTop="1">
      <c r="B139" s="81"/>
      <c r="C139" s="53"/>
      <c r="D139" s="96"/>
      <c r="E139" s="96"/>
      <c r="F139" s="96"/>
      <c r="G139" s="96"/>
      <c r="H139" s="96"/>
      <c r="I139" s="96"/>
      <c r="J139" s="96"/>
      <c r="K139" s="234"/>
      <c r="L139" s="80"/>
      <c r="M139" s="282"/>
      <c r="N139" s="96"/>
      <c r="O139" s="96"/>
      <c r="P139" s="96"/>
      <c r="Q139" s="96"/>
      <c r="R139" s="96"/>
      <c r="S139" s="96"/>
      <c r="T139" s="96"/>
      <c r="U139" s="96"/>
      <c r="V139" s="96"/>
      <c r="W139" s="96"/>
      <c r="X139" s="96"/>
      <c r="Y139" s="96"/>
      <c r="Z139" s="96"/>
      <c r="AA139" s="96"/>
      <c r="AB139" s="96"/>
      <c r="AD139" s="221"/>
    </row>
    <row r="140" spans="2:30" s="162" customFormat="1" ht="15" customHeight="1" thickBot="1">
      <c r="B140" s="338" t="str">
        <f>Assumptions!C141</f>
        <v>TOTAL PERSONNEL, TAX &amp; BENEFIT EXPENSES</v>
      </c>
      <c r="C140" s="64"/>
      <c r="D140" s="231">
        <f t="shared" ref="D140:I140" si="65">D122+D138</f>
        <v>0</v>
      </c>
      <c r="E140" s="231">
        <f t="shared" si="65"/>
        <v>0</v>
      </c>
      <c r="F140" s="231">
        <f t="shared" si="65"/>
        <v>0</v>
      </c>
      <c r="G140" s="231">
        <f t="shared" si="65"/>
        <v>0</v>
      </c>
      <c r="H140" s="231">
        <f t="shared" si="65"/>
        <v>0</v>
      </c>
      <c r="I140" s="231">
        <f t="shared" si="65"/>
        <v>0</v>
      </c>
      <c r="J140" s="231">
        <f>J122+J138</f>
        <v>0</v>
      </c>
      <c r="K140" s="220">
        <f>J140-'Start-Up Budget'!D140</f>
        <v>0</v>
      </c>
      <c r="L140" s="336"/>
      <c r="M140" s="282"/>
      <c r="N140" s="337">
        <f t="shared" ref="N140:S140" si="66">N122+N138</f>
        <v>0</v>
      </c>
      <c r="O140" s="231">
        <f t="shared" si="66"/>
        <v>0</v>
      </c>
      <c r="P140" s="231">
        <f t="shared" si="66"/>
        <v>0</v>
      </c>
      <c r="Q140" s="231">
        <f t="shared" si="66"/>
        <v>0</v>
      </c>
      <c r="R140" s="231">
        <f t="shared" si="66"/>
        <v>0</v>
      </c>
      <c r="S140" s="231">
        <f t="shared" si="66"/>
        <v>0</v>
      </c>
      <c r="T140" s="231">
        <f t="shared" ref="T140:AA140" si="67">T122+T138</f>
        <v>0</v>
      </c>
      <c r="U140" s="231">
        <f t="shared" si="67"/>
        <v>0</v>
      </c>
      <c r="V140" s="231">
        <f t="shared" si="67"/>
        <v>0</v>
      </c>
      <c r="W140" s="231">
        <f t="shared" si="67"/>
        <v>0</v>
      </c>
      <c r="X140" s="231">
        <f t="shared" si="67"/>
        <v>0</v>
      </c>
      <c r="Y140" s="231">
        <f t="shared" si="67"/>
        <v>0</v>
      </c>
      <c r="Z140" s="231">
        <f t="shared" ref="Z140" si="68">Z122+Z138</f>
        <v>0</v>
      </c>
      <c r="AA140" s="231">
        <f t="shared" si="67"/>
        <v>0</v>
      </c>
      <c r="AB140" s="218">
        <f>AA140-'5 YR Budget'!D140</f>
        <v>0</v>
      </c>
      <c r="AD140" s="221"/>
    </row>
    <row r="141" spans="2:30" s="54" customFormat="1" ht="6" customHeight="1" thickTop="1">
      <c r="B141" s="81"/>
      <c r="C141" s="53"/>
      <c r="D141" s="88"/>
      <c r="E141" s="88"/>
      <c r="F141" s="88"/>
      <c r="G141" s="88"/>
      <c r="H141" s="88"/>
      <c r="I141" s="88"/>
      <c r="J141" s="88"/>
      <c r="K141" s="235"/>
      <c r="L141" s="80"/>
      <c r="M141" s="282"/>
      <c r="N141" s="88"/>
      <c r="O141" s="88"/>
      <c r="P141" s="88"/>
      <c r="Q141" s="88"/>
      <c r="R141" s="88"/>
      <c r="S141" s="88"/>
      <c r="T141" s="88"/>
      <c r="U141" s="88"/>
      <c r="V141" s="88"/>
      <c r="W141" s="88"/>
      <c r="X141" s="88"/>
      <c r="Y141" s="88"/>
      <c r="Z141" s="88"/>
      <c r="AA141" s="88"/>
      <c r="AB141" s="88"/>
      <c r="AD141" s="221"/>
    </row>
    <row r="142" spans="2:30" s="54" customFormat="1" ht="15" customHeight="1">
      <c r="B142" s="81" t="str">
        <f>Assumptions!C143</f>
        <v>CONTRACTED SERVICES</v>
      </c>
      <c r="C142" s="53"/>
      <c r="D142" s="57"/>
      <c r="E142" s="57"/>
      <c r="F142" s="57"/>
      <c r="G142" s="57"/>
      <c r="H142" s="57"/>
      <c r="I142" s="57"/>
      <c r="J142" s="57"/>
      <c r="K142" s="79"/>
      <c r="L142" s="80"/>
      <c r="M142" s="282"/>
      <c r="N142" s="57"/>
      <c r="O142" s="57"/>
      <c r="P142" s="57"/>
      <c r="Q142" s="57"/>
      <c r="R142" s="57"/>
      <c r="S142" s="57"/>
      <c r="T142" s="57"/>
      <c r="U142" s="57"/>
      <c r="V142" s="57"/>
      <c r="W142" s="57"/>
      <c r="X142" s="57"/>
      <c r="Y142" s="57"/>
      <c r="Z142" s="57"/>
      <c r="AA142" s="57"/>
      <c r="AB142" s="57"/>
      <c r="AD142" s="221"/>
    </row>
    <row r="143" spans="2:30" s="54" customFormat="1" ht="15" customHeight="1">
      <c r="B143" s="83" t="str">
        <f>Assumptions!C144</f>
        <v xml:space="preserve">Accounting / Audit </v>
      </c>
      <c r="C143" s="97"/>
      <c r="D143" s="227">
        <v>0</v>
      </c>
      <c r="E143" s="227">
        <v>0</v>
      </c>
      <c r="F143" s="227">
        <v>0</v>
      </c>
      <c r="G143" s="227">
        <v>0</v>
      </c>
      <c r="H143" s="227">
        <v>0</v>
      </c>
      <c r="I143" s="227">
        <v>0</v>
      </c>
      <c r="J143" s="232">
        <f t="shared" ref="J143:J154" si="69">SUM(D143:I143)</f>
        <v>0</v>
      </c>
      <c r="K143" s="220">
        <f>J143-'Start-Up Budget'!D143</f>
        <v>0</v>
      </c>
      <c r="L143" s="80"/>
      <c r="M143" s="282"/>
      <c r="N143" s="227">
        <v>0</v>
      </c>
      <c r="O143" s="227">
        <v>0</v>
      </c>
      <c r="P143" s="227">
        <v>0</v>
      </c>
      <c r="Q143" s="227">
        <v>0</v>
      </c>
      <c r="R143" s="227">
        <v>0</v>
      </c>
      <c r="S143" s="227">
        <v>0</v>
      </c>
      <c r="T143" s="227">
        <v>0</v>
      </c>
      <c r="U143" s="227">
        <v>0</v>
      </c>
      <c r="V143" s="227">
        <v>0</v>
      </c>
      <c r="W143" s="227">
        <v>0</v>
      </c>
      <c r="X143" s="227">
        <v>0</v>
      </c>
      <c r="Y143" s="227">
        <v>0</v>
      </c>
      <c r="Z143" s="294">
        <v>0</v>
      </c>
      <c r="AA143" s="232">
        <f t="shared" ref="AA143:AA154" si="70">SUM(N143:Z143)</f>
        <v>0</v>
      </c>
      <c r="AB143" s="218">
        <f>AA143-'5 YR Budget'!D143</f>
        <v>0</v>
      </c>
      <c r="AD143" s="221"/>
    </row>
    <row r="144" spans="2:30" s="54" customFormat="1" ht="15" customHeight="1">
      <c r="B144" s="83" t="str">
        <f>Assumptions!C145</f>
        <v>Legal</v>
      </c>
      <c r="C144" s="97"/>
      <c r="D144" s="227">
        <v>0</v>
      </c>
      <c r="E144" s="227">
        <v>0</v>
      </c>
      <c r="F144" s="227">
        <v>0</v>
      </c>
      <c r="G144" s="227">
        <v>0</v>
      </c>
      <c r="H144" s="227">
        <v>0</v>
      </c>
      <c r="I144" s="227">
        <v>0</v>
      </c>
      <c r="J144" s="232">
        <f t="shared" si="69"/>
        <v>0</v>
      </c>
      <c r="K144" s="220">
        <f>J144-'Start-Up Budget'!D144</f>
        <v>0</v>
      </c>
      <c r="L144" s="80"/>
      <c r="M144" s="282"/>
      <c r="N144" s="227">
        <v>0</v>
      </c>
      <c r="O144" s="227">
        <v>0</v>
      </c>
      <c r="P144" s="227">
        <v>0</v>
      </c>
      <c r="Q144" s="227">
        <v>0</v>
      </c>
      <c r="R144" s="227">
        <v>0</v>
      </c>
      <c r="S144" s="227">
        <v>0</v>
      </c>
      <c r="T144" s="227">
        <v>0</v>
      </c>
      <c r="U144" s="227">
        <v>0</v>
      </c>
      <c r="V144" s="227">
        <v>0</v>
      </c>
      <c r="W144" s="227">
        <v>0</v>
      </c>
      <c r="X144" s="227">
        <v>0</v>
      </c>
      <c r="Y144" s="227">
        <v>0</v>
      </c>
      <c r="Z144" s="294">
        <v>0</v>
      </c>
      <c r="AA144" s="232">
        <f t="shared" si="70"/>
        <v>0</v>
      </c>
      <c r="AB144" s="218">
        <f>AA144-'5 YR Budget'!D144</f>
        <v>0</v>
      </c>
      <c r="AD144" s="221"/>
    </row>
    <row r="145" spans="2:30" s="54" customFormat="1" ht="15" customHeight="1">
      <c r="B145" s="83" t="str">
        <f>Assumptions!C146</f>
        <v>Oversight Fee (3%)</v>
      </c>
      <c r="C145" s="97"/>
      <c r="D145" s="227">
        <v>0</v>
      </c>
      <c r="E145" s="227">
        <v>0</v>
      </c>
      <c r="F145" s="227">
        <v>0</v>
      </c>
      <c r="G145" s="227">
        <v>0</v>
      </c>
      <c r="H145" s="227">
        <v>0</v>
      </c>
      <c r="I145" s="227">
        <v>0</v>
      </c>
      <c r="J145" s="232">
        <f t="shared" ref="J145" si="71">SUM(D145:I145)</f>
        <v>0</v>
      </c>
      <c r="K145" s="220">
        <f>J145-'Start-Up Budget'!D145</f>
        <v>0</v>
      </c>
      <c r="L145" s="80"/>
      <c r="M145" s="282"/>
      <c r="N145" s="227">
        <v>0</v>
      </c>
      <c r="O145" s="227">
        <v>0</v>
      </c>
      <c r="P145" s="227">
        <v>0</v>
      </c>
      <c r="Q145" s="227">
        <v>0</v>
      </c>
      <c r="R145" s="227">
        <v>0</v>
      </c>
      <c r="S145" s="227">
        <v>0</v>
      </c>
      <c r="T145" s="227">
        <v>0</v>
      </c>
      <c r="U145" s="227">
        <v>0</v>
      </c>
      <c r="V145" s="227">
        <v>0</v>
      </c>
      <c r="W145" s="227">
        <v>0</v>
      </c>
      <c r="X145" s="227">
        <v>0</v>
      </c>
      <c r="Y145" s="227">
        <v>0</v>
      </c>
      <c r="Z145" s="294">
        <v>0</v>
      </c>
      <c r="AA145" s="232">
        <f t="shared" ref="AA145" si="72">SUM(N145:Z145)</f>
        <v>0</v>
      </c>
      <c r="AB145" s="218">
        <f>AA145-'5 YR Budget'!D145</f>
        <v>0</v>
      </c>
      <c r="AD145" s="221"/>
    </row>
    <row r="146" spans="2:30" s="54" customFormat="1" ht="15" customHeight="1">
      <c r="B146" s="83" t="str">
        <f>Assumptions!C147</f>
        <v>Management Company Fee</v>
      </c>
      <c r="C146" s="97"/>
      <c r="D146" s="227">
        <v>0</v>
      </c>
      <c r="E146" s="227">
        <v>0</v>
      </c>
      <c r="F146" s="227">
        <v>0</v>
      </c>
      <c r="G146" s="227">
        <v>0</v>
      </c>
      <c r="H146" s="227">
        <v>0</v>
      </c>
      <c r="I146" s="227">
        <v>0</v>
      </c>
      <c r="J146" s="232">
        <f t="shared" si="69"/>
        <v>0</v>
      </c>
      <c r="K146" s="220">
        <f>J146-'Start-Up Budget'!D146</f>
        <v>0</v>
      </c>
      <c r="L146" s="80"/>
      <c r="M146" s="282"/>
      <c r="N146" s="227">
        <v>0</v>
      </c>
      <c r="O146" s="227">
        <v>0</v>
      </c>
      <c r="P146" s="227">
        <v>0</v>
      </c>
      <c r="Q146" s="227">
        <v>0</v>
      </c>
      <c r="R146" s="227">
        <v>0</v>
      </c>
      <c r="S146" s="227">
        <v>0</v>
      </c>
      <c r="T146" s="227">
        <v>0</v>
      </c>
      <c r="U146" s="227">
        <v>0</v>
      </c>
      <c r="V146" s="227">
        <v>0</v>
      </c>
      <c r="W146" s="227">
        <v>0</v>
      </c>
      <c r="X146" s="227">
        <v>0</v>
      </c>
      <c r="Y146" s="227">
        <v>0</v>
      </c>
      <c r="Z146" s="294">
        <v>0</v>
      </c>
      <c r="AA146" s="232">
        <f t="shared" si="70"/>
        <v>0</v>
      </c>
      <c r="AB146" s="218">
        <f>AA146-'5 YR Budget'!D146</f>
        <v>0</v>
      </c>
      <c r="AD146" s="221"/>
    </row>
    <row r="147" spans="2:30" s="54" customFormat="1" ht="15" customHeight="1">
      <c r="B147" s="83" t="str">
        <f>Assumptions!C148</f>
        <v>Nurse Services</v>
      </c>
      <c r="C147" s="97"/>
      <c r="D147" s="227">
        <v>0</v>
      </c>
      <c r="E147" s="227">
        <v>0</v>
      </c>
      <c r="F147" s="227">
        <v>0</v>
      </c>
      <c r="G147" s="227">
        <v>0</v>
      </c>
      <c r="H147" s="227">
        <v>0</v>
      </c>
      <c r="I147" s="227">
        <v>0</v>
      </c>
      <c r="J147" s="232">
        <f t="shared" si="69"/>
        <v>0</v>
      </c>
      <c r="K147" s="220">
        <f>J147-'Start-Up Budget'!D147</f>
        <v>0</v>
      </c>
      <c r="L147" s="80"/>
      <c r="M147" s="282"/>
      <c r="N147" s="227">
        <v>0</v>
      </c>
      <c r="O147" s="227">
        <v>0</v>
      </c>
      <c r="P147" s="227">
        <v>0</v>
      </c>
      <c r="Q147" s="227">
        <v>0</v>
      </c>
      <c r="R147" s="227">
        <v>0</v>
      </c>
      <c r="S147" s="227">
        <v>0</v>
      </c>
      <c r="T147" s="227">
        <v>0</v>
      </c>
      <c r="U147" s="227">
        <v>0</v>
      </c>
      <c r="V147" s="227">
        <v>0</v>
      </c>
      <c r="W147" s="227">
        <v>0</v>
      </c>
      <c r="X147" s="227">
        <v>0</v>
      </c>
      <c r="Y147" s="227">
        <v>0</v>
      </c>
      <c r="Z147" s="294">
        <v>0</v>
      </c>
      <c r="AA147" s="232">
        <f t="shared" si="70"/>
        <v>0</v>
      </c>
      <c r="AB147" s="218">
        <f>AA147-'5 YR Budget'!D147</f>
        <v>0</v>
      </c>
      <c r="AD147" s="221"/>
    </row>
    <row r="148" spans="2:30" s="54" customFormat="1" ht="15" customHeight="1">
      <c r="B148" s="83" t="str">
        <f>Assumptions!C149</f>
        <v>Food Service / School Lunch</v>
      </c>
      <c r="C148" s="97"/>
      <c r="D148" s="227">
        <v>0</v>
      </c>
      <c r="E148" s="227">
        <v>0</v>
      </c>
      <c r="F148" s="227">
        <v>0</v>
      </c>
      <c r="G148" s="227">
        <v>0</v>
      </c>
      <c r="H148" s="227">
        <v>0</v>
      </c>
      <c r="I148" s="227">
        <v>0</v>
      </c>
      <c r="J148" s="232">
        <f t="shared" si="69"/>
        <v>0</v>
      </c>
      <c r="K148" s="220">
        <f>J148-'Start-Up Budget'!D148</f>
        <v>0</v>
      </c>
      <c r="L148" s="80"/>
      <c r="M148" s="282"/>
      <c r="N148" s="227">
        <v>0</v>
      </c>
      <c r="O148" s="227">
        <v>0</v>
      </c>
      <c r="P148" s="227">
        <v>0</v>
      </c>
      <c r="Q148" s="227">
        <v>0</v>
      </c>
      <c r="R148" s="227">
        <v>0</v>
      </c>
      <c r="S148" s="227">
        <v>0</v>
      </c>
      <c r="T148" s="227">
        <v>0</v>
      </c>
      <c r="U148" s="227">
        <v>0</v>
      </c>
      <c r="V148" s="227">
        <v>0</v>
      </c>
      <c r="W148" s="227">
        <v>0</v>
      </c>
      <c r="X148" s="227">
        <v>0</v>
      </c>
      <c r="Y148" s="227">
        <v>0</v>
      </c>
      <c r="Z148" s="294">
        <v>0</v>
      </c>
      <c r="AA148" s="232">
        <f t="shared" si="70"/>
        <v>0</v>
      </c>
      <c r="AB148" s="218">
        <f>AA148-'5 YR Budget'!D148</f>
        <v>0</v>
      </c>
      <c r="AD148" s="221"/>
    </row>
    <row r="149" spans="2:30" s="54" customFormat="1" ht="15" customHeight="1">
      <c r="B149" s="83" t="str">
        <f>Assumptions!C150</f>
        <v>Payroll Services</v>
      </c>
      <c r="C149" s="97"/>
      <c r="D149" s="227">
        <v>0</v>
      </c>
      <c r="E149" s="227">
        <v>0</v>
      </c>
      <c r="F149" s="227">
        <v>0</v>
      </c>
      <c r="G149" s="227">
        <v>0</v>
      </c>
      <c r="H149" s="227">
        <v>0</v>
      </c>
      <c r="I149" s="227">
        <v>0</v>
      </c>
      <c r="J149" s="232">
        <f t="shared" si="69"/>
        <v>0</v>
      </c>
      <c r="K149" s="220">
        <f>J149-'Start-Up Budget'!D149</f>
        <v>0</v>
      </c>
      <c r="L149" s="80"/>
      <c r="M149" s="282"/>
      <c r="N149" s="227">
        <v>0</v>
      </c>
      <c r="O149" s="227">
        <v>0</v>
      </c>
      <c r="P149" s="227">
        <v>0</v>
      </c>
      <c r="Q149" s="227">
        <v>0</v>
      </c>
      <c r="R149" s="227">
        <v>0</v>
      </c>
      <c r="S149" s="227">
        <v>0</v>
      </c>
      <c r="T149" s="227">
        <v>0</v>
      </c>
      <c r="U149" s="227">
        <v>0</v>
      </c>
      <c r="V149" s="227">
        <v>0</v>
      </c>
      <c r="W149" s="227">
        <v>0</v>
      </c>
      <c r="X149" s="227">
        <v>0</v>
      </c>
      <c r="Y149" s="227">
        <v>0</v>
      </c>
      <c r="Z149" s="294">
        <v>0</v>
      </c>
      <c r="AA149" s="232">
        <f t="shared" si="70"/>
        <v>0</v>
      </c>
      <c r="AB149" s="218">
        <f>AA149-'5 YR Budget'!D149</f>
        <v>0</v>
      </c>
      <c r="AD149" s="221"/>
    </row>
    <row r="150" spans="2:30" s="54" customFormat="1" ht="15" customHeight="1">
      <c r="B150" s="83" t="str">
        <f>Assumptions!C151</f>
        <v>Special Ed Services</v>
      </c>
      <c r="C150" s="97"/>
      <c r="D150" s="227">
        <v>0</v>
      </c>
      <c r="E150" s="227">
        <v>0</v>
      </c>
      <c r="F150" s="227">
        <v>0</v>
      </c>
      <c r="G150" s="227">
        <v>0</v>
      </c>
      <c r="H150" s="227">
        <v>0</v>
      </c>
      <c r="I150" s="227">
        <v>0</v>
      </c>
      <c r="J150" s="232">
        <f t="shared" si="69"/>
        <v>0</v>
      </c>
      <c r="K150" s="220">
        <f>J150-'Start-Up Budget'!D150</f>
        <v>0</v>
      </c>
      <c r="L150" s="80"/>
      <c r="M150" s="282"/>
      <c r="N150" s="227">
        <v>0</v>
      </c>
      <c r="O150" s="227">
        <v>0</v>
      </c>
      <c r="P150" s="227">
        <v>0</v>
      </c>
      <c r="Q150" s="227">
        <v>0</v>
      </c>
      <c r="R150" s="227">
        <v>0</v>
      </c>
      <c r="S150" s="227">
        <v>0</v>
      </c>
      <c r="T150" s="227">
        <v>0</v>
      </c>
      <c r="U150" s="227">
        <v>0</v>
      </c>
      <c r="V150" s="227">
        <v>0</v>
      </c>
      <c r="W150" s="227">
        <v>0</v>
      </c>
      <c r="X150" s="227">
        <v>0</v>
      </c>
      <c r="Y150" s="227">
        <v>0</v>
      </c>
      <c r="Z150" s="294">
        <v>0</v>
      </c>
      <c r="AA150" s="232">
        <f t="shared" si="70"/>
        <v>0</v>
      </c>
      <c r="AB150" s="218">
        <f>AA150-'5 YR Budget'!D150</f>
        <v>0</v>
      </c>
      <c r="AD150" s="221"/>
    </row>
    <row r="151" spans="2:30" s="54" customFormat="1" ht="15" customHeight="1">
      <c r="B151" s="83" t="str">
        <f>Assumptions!C152</f>
        <v>Titlement Services (i.e. Title I)</v>
      </c>
      <c r="C151" s="53"/>
      <c r="D151" s="227">
        <v>0</v>
      </c>
      <c r="E151" s="227">
        <v>0</v>
      </c>
      <c r="F151" s="227">
        <v>0</v>
      </c>
      <c r="G151" s="227">
        <v>0</v>
      </c>
      <c r="H151" s="227">
        <v>0</v>
      </c>
      <c r="I151" s="227">
        <v>0</v>
      </c>
      <c r="J151" s="232">
        <f t="shared" si="69"/>
        <v>0</v>
      </c>
      <c r="K151" s="220">
        <f>J151-'Start-Up Budget'!D151</f>
        <v>0</v>
      </c>
      <c r="L151" s="80"/>
      <c r="M151" s="282"/>
      <c r="N151" s="227">
        <v>0</v>
      </c>
      <c r="O151" s="227">
        <v>0</v>
      </c>
      <c r="P151" s="227">
        <v>0</v>
      </c>
      <c r="Q151" s="227">
        <v>0</v>
      </c>
      <c r="R151" s="227">
        <v>0</v>
      </c>
      <c r="S151" s="227">
        <v>0</v>
      </c>
      <c r="T151" s="227">
        <v>0</v>
      </c>
      <c r="U151" s="227">
        <v>0</v>
      </c>
      <c r="V151" s="227">
        <v>0</v>
      </c>
      <c r="W151" s="227">
        <v>0</v>
      </c>
      <c r="X151" s="227">
        <v>0</v>
      </c>
      <c r="Y151" s="227">
        <v>0</v>
      </c>
      <c r="Z151" s="294">
        <v>0</v>
      </c>
      <c r="AA151" s="232">
        <f t="shared" si="70"/>
        <v>0</v>
      </c>
      <c r="AB151" s="218">
        <f>AA151-'5 YR Budget'!D151</f>
        <v>0</v>
      </c>
      <c r="AD151" s="221"/>
    </row>
    <row r="152" spans="2:30" s="54" customFormat="1" ht="15" customHeight="1">
      <c r="B152" s="83" t="str">
        <f>Assumptions!C153</f>
        <v>Custom Contracted Services #1</v>
      </c>
      <c r="C152" s="53"/>
      <c r="D152" s="227">
        <v>0</v>
      </c>
      <c r="E152" s="227">
        <v>0</v>
      </c>
      <c r="F152" s="227">
        <v>0</v>
      </c>
      <c r="G152" s="227">
        <v>0</v>
      </c>
      <c r="H152" s="227">
        <v>0</v>
      </c>
      <c r="I152" s="227">
        <v>0</v>
      </c>
      <c r="J152" s="232">
        <f t="shared" si="69"/>
        <v>0</v>
      </c>
      <c r="K152" s="220">
        <f>J152-'Start-Up Budget'!D152</f>
        <v>0</v>
      </c>
      <c r="L152" s="80"/>
      <c r="M152" s="282"/>
      <c r="N152" s="227">
        <v>0</v>
      </c>
      <c r="O152" s="227">
        <v>0</v>
      </c>
      <c r="P152" s="227">
        <v>0</v>
      </c>
      <c r="Q152" s="227">
        <v>0</v>
      </c>
      <c r="R152" s="227">
        <v>0</v>
      </c>
      <c r="S152" s="227">
        <v>0</v>
      </c>
      <c r="T152" s="227">
        <v>0</v>
      </c>
      <c r="U152" s="227">
        <v>0</v>
      </c>
      <c r="V152" s="227">
        <v>0</v>
      </c>
      <c r="W152" s="227">
        <v>0</v>
      </c>
      <c r="X152" s="227">
        <v>0</v>
      </c>
      <c r="Y152" s="227">
        <v>0</v>
      </c>
      <c r="Z152" s="294">
        <v>0</v>
      </c>
      <c r="AA152" s="232">
        <f t="shared" si="70"/>
        <v>0</v>
      </c>
      <c r="AB152" s="218">
        <f>AA152-'5 YR Budget'!D152</f>
        <v>0</v>
      </c>
      <c r="AD152" s="221"/>
    </row>
    <row r="153" spans="2:30" s="54" customFormat="1" ht="15" customHeight="1">
      <c r="B153" s="83" t="str">
        <f>Assumptions!C154</f>
        <v>Custom Contracted Services #2</v>
      </c>
      <c r="C153" s="53"/>
      <c r="D153" s="227">
        <v>0</v>
      </c>
      <c r="E153" s="227">
        <v>0</v>
      </c>
      <c r="F153" s="227">
        <v>0</v>
      </c>
      <c r="G153" s="227">
        <v>0</v>
      </c>
      <c r="H153" s="227">
        <v>0</v>
      </c>
      <c r="I153" s="227">
        <v>0</v>
      </c>
      <c r="J153" s="232">
        <f t="shared" si="69"/>
        <v>0</v>
      </c>
      <c r="K153" s="220">
        <f>J153-'Start-Up Budget'!D153</f>
        <v>0</v>
      </c>
      <c r="L153" s="80"/>
      <c r="M153" s="282"/>
      <c r="N153" s="227">
        <v>0</v>
      </c>
      <c r="O153" s="227">
        <v>0</v>
      </c>
      <c r="P153" s="227">
        <v>0</v>
      </c>
      <c r="Q153" s="227">
        <v>0</v>
      </c>
      <c r="R153" s="227">
        <v>0</v>
      </c>
      <c r="S153" s="227">
        <v>0</v>
      </c>
      <c r="T153" s="227">
        <v>0</v>
      </c>
      <c r="U153" s="227">
        <v>0</v>
      </c>
      <c r="V153" s="227">
        <v>0</v>
      </c>
      <c r="W153" s="227">
        <v>0</v>
      </c>
      <c r="X153" s="227">
        <v>0</v>
      </c>
      <c r="Y153" s="227">
        <v>0</v>
      </c>
      <c r="Z153" s="294">
        <v>0</v>
      </c>
      <c r="AA153" s="232">
        <f t="shared" si="70"/>
        <v>0</v>
      </c>
      <c r="AB153" s="218">
        <f>AA153-'5 YR Budget'!D153</f>
        <v>0</v>
      </c>
      <c r="AD153" s="221"/>
    </row>
    <row r="154" spans="2:30" s="54" customFormat="1" ht="15" customHeight="1">
      <c r="B154" s="83" t="str">
        <f>Assumptions!C155</f>
        <v>Custom Contracted Services #3</v>
      </c>
      <c r="C154" s="53"/>
      <c r="D154" s="227">
        <v>0</v>
      </c>
      <c r="E154" s="227">
        <v>0</v>
      </c>
      <c r="F154" s="227">
        <v>0</v>
      </c>
      <c r="G154" s="227">
        <v>0</v>
      </c>
      <c r="H154" s="227">
        <v>0</v>
      </c>
      <c r="I154" s="227">
        <v>0</v>
      </c>
      <c r="J154" s="232">
        <f t="shared" si="69"/>
        <v>0</v>
      </c>
      <c r="K154" s="220">
        <f>J154-'Start-Up Budget'!D154</f>
        <v>0</v>
      </c>
      <c r="L154" s="80"/>
      <c r="M154" s="282"/>
      <c r="N154" s="227">
        <v>0</v>
      </c>
      <c r="O154" s="227">
        <v>0</v>
      </c>
      <c r="P154" s="227">
        <v>0</v>
      </c>
      <c r="Q154" s="227">
        <v>0</v>
      </c>
      <c r="R154" s="227">
        <v>0</v>
      </c>
      <c r="S154" s="227">
        <v>0</v>
      </c>
      <c r="T154" s="227">
        <v>0</v>
      </c>
      <c r="U154" s="227">
        <v>0</v>
      </c>
      <c r="V154" s="227">
        <v>0</v>
      </c>
      <c r="W154" s="227">
        <v>0</v>
      </c>
      <c r="X154" s="227">
        <v>0</v>
      </c>
      <c r="Y154" s="227">
        <v>0</v>
      </c>
      <c r="Z154" s="294">
        <v>0</v>
      </c>
      <c r="AA154" s="232">
        <f t="shared" si="70"/>
        <v>0</v>
      </c>
      <c r="AB154" s="218">
        <f>AA154-'5 YR Budget'!D154</f>
        <v>0</v>
      </c>
      <c r="AD154" s="221"/>
    </row>
    <row r="155" spans="2:30" s="54" customFormat="1" ht="15" customHeight="1" thickBot="1">
      <c r="B155" s="81" t="str">
        <f>Assumptions!C156</f>
        <v>TOTAL CONTRACTED SERVICES</v>
      </c>
      <c r="C155" s="53"/>
      <c r="D155" s="87">
        <f t="shared" ref="D155:J155" si="73">SUM(D143:D154)</f>
        <v>0</v>
      </c>
      <c r="E155" s="87">
        <f t="shared" si="73"/>
        <v>0</v>
      </c>
      <c r="F155" s="87">
        <f t="shared" si="73"/>
        <v>0</v>
      </c>
      <c r="G155" s="87">
        <f t="shared" si="73"/>
        <v>0</v>
      </c>
      <c r="H155" s="87">
        <f t="shared" si="73"/>
        <v>0</v>
      </c>
      <c r="I155" s="87">
        <f t="shared" si="73"/>
        <v>0</v>
      </c>
      <c r="J155" s="231">
        <f t="shared" si="73"/>
        <v>0</v>
      </c>
      <c r="K155" s="220">
        <f>J155-'Start-Up Budget'!D155</f>
        <v>0</v>
      </c>
      <c r="L155" s="80"/>
      <c r="M155" s="282"/>
      <c r="N155" s="246">
        <f t="shared" ref="N155:S155" si="74">SUM(N143:N154)</f>
        <v>0</v>
      </c>
      <c r="O155" s="87">
        <f t="shared" si="74"/>
        <v>0</v>
      </c>
      <c r="P155" s="87">
        <f t="shared" si="74"/>
        <v>0</v>
      </c>
      <c r="Q155" s="87">
        <f t="shared" si="74"/>
        <v>0</v>
      </c>
      <c r="R155" s="87">
        <f t="shared" si="74"/>
        <v>0</v>
      </c>
      <c r="S155" s="87">
        <f t="shared" si="74"/>
        <v>0</v>
      </c>
      <c r="T155" s="87">
        <f t="shared" ref="T155:Z155" si="75">SUM(T143:T154)</f>
        <v>0</v>
      </c>
      <c r="U155" s="87">
        <f t="shared" si="75"/>
        <v>0</v>
      </c>
      <c r="V155" s="87">
        <f t="shared" si="75"/>
        <v>0</v>
      </c>
      <c r="W155" s="87">
        <f t="shared" si="75"/>
        <v>0</v>
      </c>
      <c r="X155" s="87">
        <f t="shared" si="75"/>
        <v>0</v>
      </c>
      <c r="Y155" s="87">
        <f t="shared" si="75"/>
        <v>0</v>
      </c>
      <c r="Z155" s="87">
        <f t="shared" si="75"/>
        <v>0</v>
      </c>
      <c r="AA155" s="231">
        <f>SUM(AA143:AA154)</f>
        <v>0</v>
      </c>
      <c r="AB155" s="218">
        <f>AA155-'5 YR Budget'!D155</f>
        <v>0</v>
      </c>
      <c r="AD155" s="221"/>
    </row>
    <row r="156" spans="2:30" s="54" customFormat="1" ht="6" customHeight="1" thickTop="1">
      <c r="B156" s="81"/>
      <c r="C156" s="53"/>
      <c r="D156" s="96"/>
      <c r="E156" s="96"/>
      <c r="F156" s="96"/>
      <c r="G156" s="96"/>
      <c r="H156" s="96"/>
      <c r="I156" s="96"/>
      <c r="J156" s="96"/>
      <c r="K156" s="234"/>
      <c r="L156" s="80"/>
      <c r="M156" s="282"/>
      <c r="N156" s="96"/>
      <c r="O156" s="96"/>
      <c r="P156" s="96"/>
      <c r="Q156" s="96"/>
      <c r="R156" s="96"/>
      <c r="S156" s="96"/>
      <c r="T156" s="96"/>
      <c r="U156" s="96"/>
      <c r="V156" s="96"/>
      <c r="W156" s="96"/>
      <c r="X156" s="96"/>
      <c r="Y156" s="96"/>
      <c r="Z156" s="96"/>
      <c r="AA156" s="96"/>
      <c r="AB156" s="96"/>
      <c r="AD156" s="221"/>
    </row>
    <row r="157" spans="2:30" s="54" customFormat="1" ht="15" customHeight="1">
      <c r="B157" s="81" t="str">
        <f>Assumptions!C158</f>
        <v>SCHOOL OPERATIONS</v>
      </c>
      <c r="C157" s="53"/>
      <c r="D157" s="57"/>
      <c r="E157" s="57"/>
      <c r="F157" s="57"/>
      <c r="G157" s="57"/>
      <c r="H157" s="57"/>
      <c r="I157" s="57"/>
      <c r="J157" s="57"/>
      <c r="K157" s="79"/>
      <c r="L157" s="80"/>
      <c r="M157" s="282"/>
      <c r="N157" s="57"/>
      <c r="O157" s="57"/>
      <c r="P157" s="57"/>
      <c r="Q157" s="57"/>
      <c r="R157" s="57"/>
      <c r="S157" s="57"/>
      <c r="T157" s="57"/>
      <c r="U157" s="57"/>
      <c r="V157" s="57"/>
      <c r="W157" s="57"/>
      <c r="X157" s="57"/>
      <c r="Y157" s="57"/>
      <c r="Z157" s="57"/>
      <c r="AA157" s="57"/>
      <c r="AB157" s="57"/>
      <c r="AD157" s="221"/>
    </row>
    <row r="158" spans="2:30" s="54" customFormat="1" ht="15" customHeight="1">
      <c r="B158" s="83" t="str">
        <f>Assumptions!C159</f>
        <v>Board Expenses</v>
      </c>
      <c r="C158" s="97"/>
      <c r="D158" s="227">
        <v>0</v>
      </c>
      <c r="E158" s="227">
        <v>0</v>
      </c>
      <c r="F158" s="227">
        <v>0</v>
      </c>
      <c r="G158" s="227">
        <v>0</v>
      </c>
      <c r="H158" s="227">
        <v>0</v>
      </c>
      <c r="I158" s="227">
        <v>0</v>
      </c>
      <c r="J158" s="232">
        <f t="shared" ref="J158:J179" si="76">SUM(D158:I158)</f>
        <v>0</v>
      </c>
      <c r="K158" s="220">
        <f>J158-'Start-Up Budget'!D158</f>
        <v>0</v>
      </c>
      <c r="L158" s="80"/>
      <c r="M158" s="282"/>
      <c r="N158" s="227">
        <v>0</v>
      </c>
      <c r="O158" s="227">
        <v>0</v>
      </c>
      <c r="P158" s="227">
        <v>0</v>
      </c>
      <c r="Q158" s="227">
        <v>0</v>
      </c>
      <c r="R158" s="227">
        <v>0</v>
      </c>
      <c r="S158" s="227">
        <v>0</v>
      </c>
      <c r="T158" s="227">
        <v>0</v>
      </c>
      <c r="U158" s="227">
        <v>0</v>
      </c>
      <c r="V158" s="227">
        <v>0</v>
      </c>
      <c r="W158" s="227">
        <v>0</v>
      </c>
      <c r="X158" s="227">
        <v>0</v>
      </c>
      <c r="Y158" s="227">
        <v>0</v>
      </c>
      <c r="Z158" s="294">
        <v>0</v>
      </c>
      <c r="AA158" s="232">
        <f t="shared" ref="AA158:AA179" si="77">SUM(N158:Z158)</f>
        <v>0</v>
      </c>
      <c r="AB158" s="218">
        <f>AA158-'5 YR Budget'!D158</f>
        <v>0</v>
      </c>
      <c r="AD158" s="221"/>
    </row>
    <row r="159" spans="2:30" s="54" customFormat="1" ht="15" customHeight="1">
      <c r="B159" s="83" t="str">
        <f>Assumptions!C160</f>
        <v>Classroom / Teaching Supplies &amp; Materials</v>
      </c>
      <c r="C159" s="97"/>
      <c r="D159" s="227">
        <v>0</v>
      </c>
      <c r="E159" s="227">
        <v>0</v>
      </c>
      <c r="F159" s="227">
        <v>0</v>
      </c>
      <c r="G159" s="227">
        <v>0</v>
      </c>
      <c r="H159" s="227">
        <v>0</v>
      </c>
      <c r="I159" s="227">
        <v>0</v>
      </c>
      <c r="J159" s="232">
        <f t="shared" si="76"/>
        <v>0</v>
      </c>
      <c r="K159" s="220">
        <f>J159-'Start-Up Budget'!D159</f>
        <v>0</v>
      </c>
      <c r="L159" s="80"/>
      <c r="M159" s="282"/>
      <c r="N159" s="227">
        <v>0</v>
      </c>
      <c r="O159" s="227">
        <v>0</v>
      </c>
      <c r="P159" s="227">
        <v>0</v>
      </c>
      <c r="Q159" s="227">
        <v>0</v>
      </c>
      <c r="R159" s="227">
        <v>0</v>
      </c>
      <c r="S159" s="227">
        <v>0</v>
      </c>
      <c r="T159" s="227">
        <v>0</v>
      </c>
      <c r="U159" s="227">
        <v>0</v>
      </c>
      <c r="V159" s="227">
        <v>0</v>
      </c>
      <c r="W159" s="227">
        <v>0</v>
      </c>
      <c r="X159" s="227">
        <v>0</v>
      </c>
      <c r="Y159" s="227">
        <v>0</v>
      </c>
      <c r="Z159" s="294">
        <v>0</v>
      </c>
      <c r="AA159" s="232">
        <f t="shared" si="77"/>
        <v>0</v>
      </c>
      <c r="AB159" s="218">
        <f>AA159-'5 YR Budget'!D159</f>
        <v>0</v>
      </c>
      <c r="AD159" s="221"/>
    </row>
    <row r="160" spans="2:30" s="54" customFormat="1" ht="15" customHeight="1">
      <c r="B160" s="83" t="str">
        <f>Assumptions!C161</f>
        <v>Special Ed Supplies &amp; Materials</v>
      </c>
      <c r="C160" s="53"/>
      <c r="D160" s="227">
        <v>0</v>
      </c>
      <c r="E160" s="227">
        <v>0</v>
      </c>
      <c r="F160" s="227">
        <v>0</v>
      </c>
      <c r="G160" s="227">
        <v>0</v>
      </c>
      <c r="H160" s="227">
        <v>0</v>
      </c>
      <c r="I160" s="227">
        <v>0</v>
      </c>
      <c r="J160" s="232">
        <f t="shared" si="76"/>
        <v>0</v>
      </c>
      <c r="K160" s="220">
        <f>J160-'Start-Up Budget'!D160</f>
        <v>0</v>
      </c>
      <c r="L160" s="80"/>
      <c r="M160" s="282"/>
      <c r="N160" s="227">
        <v>0</v>
      </c>
      <c r="O160" s="227">
        <v>0</v>
      </c>
      <c r="P160" s="227">
        <v>0</v>
      </c>
      <c r="Q160" s="227">
        <v>0</v>
      </c>
      <c r="R160" s="227">
        <v>0</v>
      </c>
      <c r="S160" s="227">
        <v>0</v>
      </c>
      <c r="T160" s="227">
        <v>0</v>
      </c>
      <c r="U160" s="227">
        <v>0</v>
      </c>
      <c r="V160" s="227">
        <v>0</v>
      </c>
      <c r="W160" s="227">
        <v>0</v>
      </c>
      <c r="X160" s="227">
        <v>0</v>
      </c>
      <c r="Y160" s="227">
        <v>0</v>
      </c>
      <c r="Z160" s="294">
        <v>0</v>
      </c>
      <c r="AA160" s="232">
        <f t="shared" si="77"/>
        <v>0</v>
      </c>
      <c r="AB160" s="218">
        <f>AA160-'5 YR Budget'!D160</f>
        <v>0</v>
      </c>
      <c r="AD160" s="221"/>
    </row>
    <row r="161" spans="2:30" s="54" customFormat="1" ht="15" customHeight="1">
      <c r="B161" s="83" t="str">
        <f>Assumptions!C162</f>
        <v>Textbooks / Workbooks</v>
      </c>
      <c r="C161" s="53"/>
      <c r="D161" s="227">
        <v>0</v>
      </c>
      <c r="E161" s="227">
        <v>0</v>
      </c>
      <c r="F161" s="227">
        <v>0</v>
      </c>
      <c r="G161" s="227">
        <v>0</v>
      </c>
      <c r="H161" s="227">
        <v>0</v>
      </c>
      <c r="I161" s="227">
        <v>0</v>
      </c>
      <c r="J161" s="232">
        <f t="shared" si="76"/>
        <v>0</v>
      </c>
      <c r="K161" s="220">
        <f>J161-'Start-Up Budget'!D161</f>
        <v>0</v>
      </c>
      <c r="L161" s="80"/>
      <c r="M161" s="282"/>
      <c r="N161" s="227">
        <v>0</v>
      </c>
      <c r="O161" s="227">
        <v>0</v>
      </c>
      <c r="P161" s="227">
        <v>0</v>
      </c>
      <c r="Q161" s="227">
        <v>0</v>
      </c>
      <c r="R161" s="227">
        <v>0</v>
      </c>
      <c r="S161" s="227">
        <v>0</v>
      </c>
      <c r="T161" s="227">
        <v>0</v>
      </c>
      <c r="U161" s="227">
        <v>0</v>
      </c>
      <c r="V161" s="227">
        <v>0</v>
      </c>
      <c r="W161" s="227">
        <v>0</v>
      </c>
      <c r="X161" s="227">
        <v>0</v>
      </c>
      <c r="Y161" s="227">
        <v>0</v>
      </c>
      <c r="Z161" s="294">
        <v>0</v>
      </c>
      <c r="AA161" s="232">
        <f t="shared" si="77"/>
        <v>0</v>
      </c>
      <c r="AB161" s="218">
        <f>AA161-'5 YR Budget'!D161</f>
        <v>0</v>
      </c>
      <c r="AD161" s="221"/>
    </row>
    <row r="162" spans="2:30" s="54" customFormat="1" ht="15" customHeight="1">
      <c r="B162" s="83" t="str">
        <f>Assumptions!C163</f>
        <v>Supplies &amp; Materials other</v>
      </c>
      <c r="C162" s="53"/>
      <c r="D162" s="227">
        <v>0</v>
      </c>
      <c r="E162" s="227">
        <v>0</v>
      </c>
      <c r="F162" s="227">
        <v>0</v>
      </c>
      <c r="G162" s="227">
        <v>0</v>
      </c>
      <c r="H162" s="227">
        <v>0</v>
      </c>
      <c r="I162" s="227">
        <v>0</v>
      </c>
      <c r="J162" s="232">
        <f t="shared" si="76"/>
        <v>0</v>
      </c>
      <c r="K162" s="220">
        <f>J162-'Start-Up Budget'!D162</f>
        <v>0</v>
      </c>
      <c r="L162" s="80"/>
      <c r="M162" s="282"/>
      <c r="N162" s="227">
        <v>0</v>
      </c>
      <c r="O162" s="227">
        <v>0</v>
      </c>
      <c r="P162" s="227">
        <v>0</v>
      </c>
      <c r="Q162" s="227">
        <v>0</v>
      </c>
      <c r="R162" s="227">
        <v>0</v>
      </c>
      <c r="S162" s="227">
        <v>0</v>
      </c>
      <c r="T162" s="227">
        <v>0</v>
      </c>
      <c r="U162" s="227">
        <v>0</v>
      </c>
      <c r="V162" s="227">
        <v>0</v>
      </c>
      <c r="W162" s="227">
        <v>0</v>
      </c>
      <c r="X162" s="227">
        <v>0</v>
      </c>
      <c r="Y162" s="227">
        <v>0</v>
      </c>
      <c r="Z162" s="294">
        <v>0</v>
      </c>
      <c r="AA162" s="232">
        <f t="shared" si="77"/>
        <v>0</v>
      </c>
      <c r="AB162" s="218">
        <f>AA162-'5 YR Budget'!D162</f>
        <v>0</v>
      </c>
      <c r="AD162" s="221"/>
    </row>
    <row r="163" spans="2:30" s="54" customFormat="1" ht="15" customHeight="1">
      <c r="B163" s="83" t="str">
        <f>Assumptions!C164</f>
        <v xml:space="preserve">Equipment / Furniture   </v>
      </c>
      <c r="C163" s="53"/>
      <c r="D163" s="227">
        <v>0</v>
      </c>
      <c r="E163" s="227">
        <v>0</v>
      </c>
      <c r="F163" s="227">
        <v>0</v>
      </c>
      <c r="G163" s="227">
        <v>0</v>
      </c>
      <c r="H163" s="227">
        <v>0</v>
      </c>
      <c r="I163" s="227">
        <v>0</v>
      </c>
      <c r="J163" s="232">
        <f t="shared" si="76"/>
        <v>0</v>
      </c>
      <c r="K163" s="220">
        <f>J163-'Start-Up Budget'!D163</f>
        <v>0</v>
      </c>
      <c r="L163" s="80"/>
      <c r="M163" s="282"/>
      <c r="N163" s="227">
        <v>0</v>
      </c>
      <c r="O163" s="227">
        <v>0</v>
      </c>
      <c r="P163" s="227">
        <v>0</v>
      </c>
      <c r="Q163" s="227">
        <v>0</v>
      </c>
      <c r="R163" s="227">
        <v>0</v>
      </c>
      <c r="S163" s="227">
        <v>0</v>
      </c>
      <c r="T163" s="227">
        <v>0</v>
      </c>
      <c r="U163" s="227">
        <v>0</v>
      </c>
      <c r="V163" s="227">
        <v>0</v>
      </c>
      <c r="W163" s="227">
        <v>0</v>
      </c>
      <c r="X163" s="227">
        <v>0</v>
      </c>
      <c r="Y163" s="227">
        <v>0</v>
      </c>
      <c r="Z163" s="294">
        <v>0</v>
      </c>
      <c r="AA163" s="232">
        <f t="shared" si="77"/>
        <v>0</v>
      </c>
      <c r="AB163" s="218">
        <f>AA163-'5 YR Budget'!D163</f>
        <v>0</v>
      </c>
      <c r="AD163" s="221"/>
    </row>
    <row r="164" spans="2:30" s="54" customFormat="1" ht="15" customHeight="1">
      <c r="B164" s="83" t="str">
        <f>Assumptions!C165</f>
        <v xml:space="preserve">Telephone </v>
      </c>
      <c r="C164" s="53"/>
      <c r="D164" s="227">
        <v>0</v>
      </c>
      <c r="E164" s="227">
        <v>0</v>
      </c>
      <c r="F164" s="227">
        <v>0</v>
      </c>
      <c r="G164" s="227">
        <v>0</v>
      </c>
      <c r="H164" s="227">
        <v>0</v>
      </c>
      <c r="I164" s="227">
        <v>0</v>
      </c>
      <c r="J164" s="232">
        <f t="shared" si="76"/>
        <v>0</v>
      </c>
      <c r="K164" s="220">
        <f>J164-'Start-Up Budget'!D164</f>
        <v>0</v>
      </c>
      <c r="L164" s="80"/>
      <c r="M164" s="282"/>
      <c r="N164" s="227">
        <v>0</v>
      </c>
      <c r="O164" s="227">
        <v>0</v>
      </c>
      <c r="P164" s="227">
        <v>0</v>
      </c>
      <c r="Q164" s="227">
        <v>0</v>
      </c>
      <c r="R164" s="227">
        <v>0</v>
      </c>
      <c r="S164" s="227">
        <v>0</v>
      </c>
      <c r="T164" s="227">
        <v>0</v>
      </c>
      <c r="U164" s="227">
        <v>0</v>
      </c>
      <c r="V164" s="227">
        <v>0</v>
      </c>
      <c r="W164" s="227">
        <v>0</v>
      </c>
      <c r="X164" s="227">
        <v>0</v>
      </c>
      <c r="Y164" s="227">
        <v>0</v>
      </c>
      <c r="Z164" s="294">
        <v>0</v>
      </c>
      <c r="AA164" s="232">
        <f t="shared" si="77"/>
        <v>0</v>
      </c>
      <c r="AB164" s="218">
        <f>AA164-'5 YR Budget'!D164</f>
        <v>0</v>
      </c>
      <c r="AD164" s="221"/>
    </row>
    <row r="165" spans="2:30" s="54" customFormat="1" ht="15" customHeight="1">
      <c r="B165" s="83" t="str">
        <f>Assumptions!C166</f>
        <v>Technology</v>
      </c>
      <c r="C165" s="53"/>
      <c r="D165" s="227">
        <v>0</v>
      </c>
      <c r="E165" s="227">
        <v>0</v>
      </c>
      <c r="F165" s="227">
        <v>0</v>
      </c>
      <c r="G165" s="227">
        <v>0</v>
      </c>
      <c r="H165" s="227">
        <v>0</v>
      </c>
      <c r="I165" s="227">
        <v>0</v>
      </c>
      <c r="J165" s="232">
        <f t="shared" si="76"/>
        <v>0</v>
      </c>
      <c r="K165" s="220">
        <f>J165-'Start-Up Budget'!D165</f>
        <v>0</v>
      </c>
      <c r="L165" s="80"/>
      <c r="M165" s="282"/>
      <c r="N165" s="227">
        <v>0</v>
      </c>
      <c r="O165" s="227">
        <v>0</v>
      </c>
      <c r="P165" s="227">
        <v>0</v>
      </c>
      <c r="Q165" s="227">
        <v>0</v>
      </c>
      <c r="R165" s="227">
        <v>0</v>
      </c>
      <c r="S165" s="227">
        <v>0</v>
      </c>
      <c r="T165" s="227">
        <v>0</v>
      </c>
      <c r="U165" s="227">
        <v>0</v>
      </c>
      <c r="V165" s="227">
        <v>0</v>
      </c>
      <c r="W165" s="227">
        <v>0</v>
      </c>
      <c r="X165" s="227">
        <v>0</v>
      </c>
      <c r="Y165" s="227">
        <v>0</v>
      </c>
      <c r="Z165" s="294">
        <v>0</v>
      </c>
      <c r="AA165" s="232">
        <f t="shared" si="77"/>
        <v>0</v>
      </c>
      <c r="AB165" s="218">
        <f>AA165-'5 YR Budget'!D165</f>
        <v>0</v>
      </c>
      <c r="AD165" s="221"/>
    </row>
    <row r="166" spans="2:30" s="54" customFormat="1" ht="15" customHeight="1">
      <c r="B166" s="83" t="str">
        <f>Assumptions!C167</f>
        <v>Student Testing &amp; Assessment</v>
      </c>
      <c r="C166" s="53"/>
      <c r="D166" s="227">
        <v>0</v>
      </c>
      <c r="E166" s="227">
        <v>0</v>
      </c>
      <c r="F166" s="227">
        <v>0</v>
      </c>
      <c r="G166" s="227">
        <v>0</v>
      </c>
      <c r="H166" s="227">
        <v>0</v>
      </c>
      <c r="I166" s="227">
        <v>0</v>
      </c>
      <c r="J166" s="232">
        <f t="shared" si="76"/>
        <v>0</v>
      </c>
      <c r="K166" s="220">
        <f>J166-'Start-Up Budget'!D166</f>
        <v>0</v>
      </c>
      <c r="L166" s="80"/>
      <c r="M166" s="282"/>
      <c r="N166" s="227">
        <v>0</v>
      </c>
      <c r="O166" s="227">
        <v>0</v>
      </c>
      <c r="P166" s="227">
        <v>0</v>
      </c>
      <c r="Q166" s="227">
        <v>0</v>
      </c>
      <c r="R166" s="227">
        <v>0</v>
      </c>
      <c r="S166" s="227">
        <v>0</v>
      </c>
      <c r="T166" s="227">
        <v>0</v>
      </c>
      <c r="U166" s="227">
        <v>0</v>
      </c>
      <c r="V166" s="227">
        <v>0</v>
      </c>
      <c r="W166" s="227">
        <v>0</v>
      </c>
      <c r="X166" s="227">
        <v>0</v>
      </c>
      <c r="Y166" s="227">
        <v>0</v>
      </c>
      <c r="Z166" s="294">
        <v>0</v>
      </c>
      <c r="AA166" s="232">
        <f t="shared" si="77"/>
        <v>0</v>
      </c>
      <c r="AB166" s="218">
        <f>AA166-'5 YR Budget'!D166</f>
        <v>0</v>
      </c>
      <c r="AD166" s="221"/>
    </row>
    <row r="167" spans="2:30" s="54" customFormat="1" ht="15" customHeight="1">
      <c r="B167" s="83" t="str">
        <f>Assumptions!C168</f>
        <v>Field Trips</v>
      </c>
      <c r="C167" s="53"/>
      <c r="D167" s="227">
        <v>0</v>
      </c>
      <c r="E167" s="227">
        <v>0</v>
      </c>
      <c r="F167" s="227">
        <v>0</v>
      </c>
      <c r="G167" s="227">
        <v>0</v>
      </c>
      <c r="H167" s="227">
        <v>0</v>
      </c>
      <c r="I167" s="227">
        <v>0</v>
      </c>
      <c r="J167" s="232">
        <f t="shared" si="76"/>
        <v>0</v>
      </c>
      <c r="K167" s="220">
        <f>J167-'Start-Up Budget'!D167</f>
        <v>0</v>
      </c>
      <c r="L167" s="80"/>
      <c r="M167" s="282"/>
      <c r="N167" s="227">
        <v>0</v>
      </c>
      <c r="O167" s="227">
        <v>0</v>
      </c>
      <c r="P167" s="227">
        <v>0</v>
      </c>
      <c r="Q167" s="227">
        <v>0</v>
      </c>
      <c r="R167" s="227">
        <v>0</v>
      </c>
      <c r="S167" s="227">
        <v>0</v>
      </c>
      <c r="T167" s="227">
        <v>0</v>
      </c>
      <c r="U167" s="227">
        <v>0</v>
      </c>
      <c r="V167" s="227">
        <v>0</v>
      </c>
      <c r="W167" s="227">
        <v>0</v>
      </c>
      <c r="X167" s="227">
        <v>0</v>
      </c>
      <c r="Y167" s="227">
        <v>0</v>
      </c>
      <c r="Z167" s="294">
        <v>0</v>
      </c>
      <c r="AA167" s="232">
        <f t="shared" si="77"/>
        <v>0</v>
      </c>
      <c r="AB167" s="218">
        <f>AA167-'5 YR Budget'!D167</f>
        <v>0</v>
      </c>
      <c r="AD167" s="221"/>
    </row>
    <row r="168" spans="2:30" s="54" customFormat="1" ht="15" customHeight="1">
      <c r="B168" s="83" t="str">
        <f>Assumptions!C169</f>
        <v>Transportation (student)</v>
      </c>
      <c r="C168" s="53"/>
      <c r="D168" s="227">
        <v>0</v>
      </c>
      <c r="E168" s="227">
        <v>0</v>
      </c>
      <c r="F168" s="227">
        <v>0</v>
      </c>
      <c r="G168" s="227">
        <v>0</v>
      </c>
      <c r="H168" s="227">
        <v>0</v>
      </c>
      <c r="I168" s="227">
        <v>0</v>
      </c>
      <c r="J168" s="232">
        <f t="shared" si="76"/>
        <v>0</v>
      </c>
      <c r="K168" s="220">
        <f>J168-'Start-Up Budget'!D168</f>
        <v>0</v>
      </c>
      <c r="L168" s="80"/>
      <c r="M168" s="282"/>
      <c r="N168" s="227">
        <v>0</v>
      </c>
      <c r="O168" s="227">
        <v>0</v>
      </c>
      <c r="P168" s="227">
        <v>0</v>
      </c>
      <c r="Q168" s="227">
        <v>0</v>
      </c>
      <c r="R168" s="227">
        <v>0</v>
      </c>
      <c r="S168" s="227">
        <v>0</v>
      </c>
      <c r="T168" s="227">
        <v>0</v>
      </c>
      <c r="U168" s="227">
        <v>0</v>
      </c>
      <c r="V168" s="227">
        <v>0</v>
      </c>
      <c r="W168" s="227">
        <v>0</v>
      </c>
      <c r="X168" s="227">
        <v>0</v>
      </c>
      <c r="Y168" s="227">
        <v>0</v>
      </c>
      <c r="Z168" s="294">
        <v>0</v>
      </c>
      <c r="AA168" s="232">
        <f t="shared" si="77"/>
        <v>0</v>
      </c>
      <c r="AB168" s="218">
        <f>AA168-'5 YR Budget'!D168</f>
        <v>0</v>
      </c>
      <c r="AD168" s="221"/>
    </row>
    <row r="169" spans="2:30" s="54" customFormat="1" ht="15" customHeight="1">
      <c r="B169" s="83" t="str">
        <f>Assumptions!C170</f>
        <v>Student Services - other</v>
      </c>
      <c r="C169" s="53"/>
      <c r="D169" s="227">
        <v>0</v>
      </c>
      <c r="E169" s="227">
        <v>0</v>
      </c>
      <c r="F169" s="227">
        <v>0</v>
      </c>
      <c r="G169" s="227">
        <v>0</v>
      </c>
      <c r="H169" s="227">
        <v>0</v>
      </c>
      <c r="I169" s="227">
        <v>0</v>
      </c>
      <c r="J169" s="232">
        <f t="shared" si="76"/>
        <v>0</v>
      </c>
      <c r="K169" s="220">
        <f>J169-'Start-Up Budget'!D169</f>
        <v>0</v>
      </c>
      <c r="L169" s="80"/>
      <c r="M169" s="282"/>
      <c r="N169" s="227">
        <v>0</v>
      </c>
      <c r="O169" s="227">
        <v>0</v>
      </c>
      <c r="P169" s="227">
        <v>0</v>
      </c>
      <c r="Q169" s="227">
        <v>0</v>
      </c>
      <c r="R169" s="227">
        <v>0</v>
      </c>
      <c r="S169" s="227">
        <v>0</v>
      </c>
      <c r="T169" s="227">
        <v>0</v>
      </c>
      <c r="U169" s="227">
        <v>0</v>
      </c>
      <c r="V169" s="227">
        <v>0</v>
      </c>
      <c r="W169" s="227">
        <v>0</v>
      </c>
      <c r="X169" s="227">
        <v>0</v>
      </c>
      <c r="Y169" s="227">
        <v>0</v>
      </c>
      <c r="Z169" s="294">
        <v>0</v>
      </c>
      <c r="AA169" s="232">
        <f t="shared" si="77"/>
        <v>0</v>
      </c>
      <c r="AB169" s="218">
        <f>AA169-'5 YR Budget'!D169</f>
        <v>0</v>
      </c>
      <c r="AD169" s="221"/>
    </row>
    <row r="170" spans="2:30" s="54" customFormat="1" ht="15" customHeight="1">
      <c r="B170" s="83" t="str">
        <f>Assumptions!C171</f>
        <v>Office Expense</v>
      </c>
      <c r="C170" s="97"/>
      <c r="D170" s="227">
        <v>0</v>
      </c>
      <c r="E170" s="227">
        <v>0</v>
      </c>
      <c r="F170" s="227">
        <v>0</v>
      </c>
      <c r="G170" s="227">
        <v>0</v>
      </c>
      <c r="H170" s="227">
        <v>0</v>
      </c>
      <c r="I170" s="227">
        <v>0</v>
      </c>
      <c r="J170" s="232">
        <f t="shared" si="76"/>
        <v>0</v>
      </c>
      <c r="K170" s="220">
        <f>J170-'Start-Up Budget'!D170</f>
        <v>0</v>
      </c>
      <c r="L170" s="80"/>
      <c r="M170" s="282"/>
      <c r="N170" s="227">
        <v>0</v>
      </c>
      <c r="O170" s="227">
        <v>0</v>
      </c>
      <c r="P170" s="227">
        <v>0</v>
      </c>
      <c r="Q170" s="227">
        <v>0</v>
      </c>
      <c r="R170" s="227">
        <v>0</v>
      </c>
      <c r="S170" s="227">
        <v>0</v>
      </c>
      <c r="T170" s="227">
        <v>0</v>
      </c>
      <c r="U170" s="227">
        <v>0</v>
      </c>
      <c r="V170" s="227">
        <v>0</v>
      </c>
      <c r="W170" s="227">
        <v>0</v>
      </c>
      <c r="X170" s="227">
        <v>0</v>
      </c>
      <c r="Y170" s="227">
        <v>0</v>
      </c>
      <c r="Z170" s="294">
        <v>0</v>
      </c>
      <c r="AA170" s="232">
        <f t="shared" si="77"/>
        <v>0</v>
      </c>
      <c r="AB170" s="218">
        <f>AA170-'5 YR Budget'!D170</f>
        <v>0</v>
      </c>
      <c r="AD170" s="221"/>
    </row>
    <row r="171" spans="2:30" s="54" customFormat="1" ht="15" customHeight="1">
      <c r="B171" s="83" t="str">
        <f>Assumptions!C172</f>
        <v>Staff Development</v>
      </c>
      <c r="C171" s="97"/>
      <c r="D171" s="227">
        <v>0</v>
      </c>
      <c r="E171" s="227">
        <v>0</v>
      </c>
      <c r="F171" s="227">
        <v>0</v>
      </c>
      <c r="G171" s="227">
        <v>0</v>
      </c>
      <c r="H171" s="227">
        <v>0</v>
      </c>
      <c r="I171" s="227">
        <v>0</v>
      </c>
      <c r="J171" s="232">
        <f t="shared" si="76"/>
        <v>0</v>
      </c>
      <c r="K171" s="220">
        <f>J171-'Start-Up Budget'!D171</f>
        <v>0</v>
      </c>
      <c r="L171" s="80"/>
      <c r="M171" s="282"/>
      <c r="N171" s="227">
        <v>0</v>
      </c>
      <c r="O171" s="227">
        <v>0</v>
      </c>
      <c r="P171" s="227">
        <v>0</v>
      </c>
      <c r="Q171" s="227">
        <v>0</v>
      </c>
      <c r="R171" s="227">
        <v>0</v>
      </c>
      <c r="S171" s="227">
        <v>0</v>
      </c>
      <c r="T171" s="227">
        <v>0</v>
      </c>
      <c r="U171" s="227">
        <v>0</v>
      </c>
      <c r="V171" s="227">
        <v>0</v>
      </c>
      <c r="W171" s="227">
        <v>0</v>
      </c>
      <c r="X171" s="227">
        <v>0</v>
      </c>
      <c r="Y171" s="227">
        <v>0</v>
      </c>
      <c r="Z171" s="294">
        <v>0</v>
      </c>
      <c r="AA171" s="232">
        <f t="shared" si="77"/>
        <v>0</v>
      </c>
      <c r="AB171" s="218">
        <f>AA171-'5 YR Budget'!D171</f>
        <v>0</v>
      </c>
      <c r="AD171" s="221"/>
    </row>
    <row r="172" spans="2:30" s="54" customFormat="1" ht="15" customHeight="1">
      <c r="B172" s="83" t="str">
        <f>Assumptions!C173</f>
        <v>Staff Recruitment</v>
      </c>
      <c r="C172" s="97"/>
      <c r="D172" s="227">
        <v>0</v>
      </c>
      <c r="E172" s="227">
        <v>0</v>
      </c>
      <c r="F172" s="227">
        <v>0</v>
      </c>
      <c r="G172" s="227">
        <v>0</v>
      </c>
      <c r="H172" s="227">
        <v>0</v>
      </c>
      <c r="I172" s="227">
        <v>0</v>
      </c>
      <c r="J172" s="232">
        <f t="shared" si="76"/>
        <v>0</v>
      </c>
      <c r="K172" s="220">
        <f>J172-'Start-Up Budget'!D172</f>
        <v>0</v>
      </c>
      <c r="L172" s="80"/>
      <c r="M172" s="282"/>
      <c r="N172" s="227">
        <v>0</v>
      </c>
      <c r="O172" s="227">
        <v>0</v>
      </c>
      <c r="P172" s="227">
        <v>0</v>
      </c>
      <c r="Q172" s="227">
        <v>0</v>
      </c>
      <c r="R172" s="227">
        <v>0</v>
      </c>
      <c r="S172" s="227">
        <v>0</v>
      </c>
      <c r="T172" s="227">
        <v>0</v>
      </c>
      <c r="U172" s="227">
        <v>0</v>
      </c>
      <c r="V172" s="227">
        <v>0</v>
      </c>
      <c r="W172" s="227">
        <v>0</v>
      </c>
      <c r="X172" s="227">
        <v>0</v>
      </c>
      <c r="Y172" s="227">
        <v>0</v>
      </c>
      <c r="Z172" s="294">
        <v>0</v>
      </c>
      <c r="AA172" s="232">
        <f t="shared" si="77"/>
        <v>0</v>
      </c>
      <c r="AB172" s="218">
        <f>AA172-'5 YR Budget'!D172</f>
        <v>0</v>
      </c>
      <c r="AD172" s="221"/>
    </row>
    <row r="173" spans="2:30" s="54" customFormat="1" ht="15" customHeight="1">
      <c r="B173" s="83" t="str">
        <f>Assumptions!C174</f>
        <v>Student Recruitment / Marketing</v>
      </c>
      <c r="C173" s="97"/>
      <c r="D173" s="227">
        <v>0</v>
      </c>
      <c r="E173" s="227">
        <v>0</v>
      </c>
      <c r="F173" s="227">
        <v>0</v>
      </c>
      <c r="G173" s="227">
        <v>0</v>
      </c>
      <c r="H173" s="227">
        <v>0</v>
      </c>
      <c r="I173" s="227">
        <v>0</v>
      </c>
      <c r="J173" s="232">
        <f t="shared" si="76"/>
        <v>0</v>
      </c>
      <c r="K173" s="220">
        <f>J173-'Start-Up Budget'!D173</f>
        <v>0</v>
      </c>
      <c r="L173" s="80"/>
      <c r="M173" s="282"/>
      <c r="N173" s="227">
        <v>0</v>
      </c>
      <c r="O173" s="227">
        <v>0</v>
      </c>
      <c r="P173" s="227">
        <v>0</v>
      </c>
      <c r="Q173" s="227">
        <v>0</v>
      </c>
      <c r="R173" s="227">
        <v>0</v>
      </c>
      <c r="S173" s="227">
        <v>0</v>
      </c>
      <c r="T173" s="227">
        <v>0</v>
      </c>
      <c r="U173" s="227">
        <v>0</v>
      </c>
      <c r="V173" s="227">
        <v>0</v>
      </c>
      <c r="W173" s="227">
        <v>0</v>
      </c>
      <c r="X173" s="227">
        <v>0</v>
      </c>
      <c r="Y173" s="227">
        <v>0</v>
      </c>
      <c r="Z173" s="294">
        <v>0</v>
      </c>
      <c r="AA173" s="232">
        <f t="shared" si="77"/>
        <v>0</v>
      </c>
      <c r="AB173" s="218">
        <f>AA173-'5 YR Budget'!D173</f>
        <v>0</v>
      </c>
      <c r="AD173" s="221"/>
    </row>
    <row r="174" spans="2:30" s="54" customFormat="1" ht="15" customHeight="1">
      <c r="B174" s="83" t="str">
        <f>Assumptions!C175</f>
        <v>School Meals / Lunch</v>
      </c>
      <c r="C174" s="97"/>
      <c r="D174" s="227">
        <v>0</v>
      </c>
      <c r="E174" s="227">
        <v>0</v>
      </c>
      <c r="F174" s="227">
        <v>0</v>
      </c>
      <c r="G174" s="227">
        <v>0</v>
      </c>
      <c r="H174" s="227">
        <v>0</v>
      </c>
      <c r="I174" s="227">
        <v>0</v>
      </c>
      <c r="J174" s="232">
        <f t="shared" si="76"/>
        <v>0</v>
      </c>
      <c r="K174" s="220">
        <f>J174-'Start-Up Budget'!D174</f>
        <v>0</v>
      </c>
      <c r="L174" s="80"/>
      <c r="M174" s="282"/>
      <c r="N174" s="227">
        <v>0</v>
      </c>
      <c r="O174" s="227">
        <v>0</v>
      </c>
      <c r="P174" s="227">
        <v>0</v>
      </c>
      <c r="Q174" s="227">
        <v>0</v>
      </c>
      <c r="R174" s="227">
        <v>0</v>
      </c>
      <c r="S174" s="227">
        <v>0</v>
      </c>
      <c r="T174" s="227">
        <v>0</v>
      </c>
      <c r="U174" s="227">
        <v>0</v>
      </c>
      <c r="V174" s="227">
        <v>0</v>
      </c>
      <c r="W174" s="227">
        <v>0</v>
      </c>
      <c r="X174" s="227">
        <v>0</v>
      </c>
      <c r="Y174" s="227">
        <v>0</v>
      </c>
      <c r="Z174" s="294">
        <v>0</v>
      </c>
      <c r="AA174" s="232">
        <f t="shared" si="77"/>
        <v>0</v>
      </c>
      <c r="AB174" s="218">
        <f>AA174-'5 YR Budget'!D174</f>
        <v>0</v>
      </c>
      <c r="AD174" s="221"/>
    </row>
    <row r="175" spans="2:30" s="54" customFormat="1" ht="15" customHeight="1">
      <c r="B175" s="83" t="str">
        <f>Assumptions!C176</f>
        <v>Travel (Staff)</v>
      </c>
      <c r="C175" s="53"/>
      <c r="D175" s="227">
        <v>0</v>
      </c>
      <c r="E175" s="227">
        <v>0</v>
      </c>
      <c r="F175" s="227">
        <v>0</v>
      </c>
      <c r="G175" s="227">
        <v>0</v>
      </c>
      <c r="H175" s="227">
        <v>0</v>
      </c>
      <c r="I175" s="227">
        <v>0</v>
      </c>
      <c r="J175" s="232">
        <f t="shared" si="76"/>
        <v>0</v>
      </c>
      <c r="K175" s="220">
        <f>J175-'Start-Up Budget'!D175</f>
        <v>0</v>
      </c>
      <c r="L175" s="80"/>
      <c r="M175" s="282"/>
      <c r="N175" s="227">
        <v>0</v>
      </c>
      <c r="O175" s="227">
        <v>0</v>
      </c>
      <c r="P175" s="227">
        <v>0</v>
      </c>
      <c r="Q175" s="227">
        <v>0</v>
      </c>
      <c r="R175" s="227">
        <v>0</v>
      </c>
      <c r="S175" s="227">
        <v>0</v>
      </c>
      <c r="T175" s="227">
        <v>0</v>
      </c>
      <c r="U175" s="227">
        <v>0</v>
      </c>
      <c r="V175" s="227">
        <v>0</v>
      </c>
      <c r="W175" s="227">
        <v>0</v>
      </c>
      <c r="X175" s="227">
        <v>0</v>
      </c>
      <c r="Y175" s="227">
        <v>0</v>
      </c>
      <c r="Z175" s="294">
        <v>0</v>
      </c>
      <c r="AA175" s="232">
        <f t="shared" si="77"/>
        <v>0</v>
      </c>
      <c r="AB175" s="218">
        <f>AA175-'5 YR Budget'!D175</f>
        <v>0</v>
      </c>
      <c r="AD175" s="221"/>
    </row>
    <row r="176" spans="2:30" s="54" customFormat="1" ht="15" customHeight="1">
      <c r="B176" s="83" t="str">
        <f>Assumptions!C177</f>
        <v>Fundraising</v>
      </c>
      <c r="C176" s="53"/>
      <c r="D176" s="227">
        <v>0</v>
      </c>
      <c r="E176" s="227">
        <v>0</v>
      </c>
      <c r="F176" s="227">
        <v>0</v>
      </c>
      <c r="G176" s="227">
        <v>0</v>
      </c>
      <c r="H176" s="227">
        <v>0</v>
      </c>
      <c r="I176" s="227">
        <v>0</v>
      </c>
      <c r="J176" s="232">
        <f t="shared" si="76"/>
        <v>0</v>
      </c>
      <c r="K176" s="220">
        <f>J176-'Start-Up Budget'!D176</f>
        <v>0</v>
      </c>
      <c r="L176" s="80"/>
      <c r="M176" s="282"/>
      <c r="N176" s="227">
        <v>0</v>
      </c>
      <c r="O176" s="227">
        <v>0</v>
      </c>
      <c r="P176" s="227">
        <v>0</v>
      </c>
      <c r="Q176" s="227">
        <v>0</v>
      </c>
      <c r="R176" s="227">
        <v>0</v>
      </c>
      <c r="S176" s="227">
        <v>0</v>
      </c>
      <c r="T176" s="227">
        <v>0</v>
      </c>
      <c r="U176" s="227">
        <v>0</v>
      </c>
      <c r="V176" s="227">
        <v>0</v>
      </c>
      <c r="W176" s="227">
        <v>0</v>
      </c>
      <c r="X176" s="227">
        <v>0</v>
      </c>
      <c r="Y176" s="227">
        <v>0</v>
      </c>
      <c r="Z176" s="294">
        <v>0</v>
      </c>
      <c r="AA176" s="232">
        <f t="shared" si="77"/>
        <v>0</v>
      </c>
      <c r="AB176" s="218">
        <f>AA176-'5 YR Budget'!D176</f>
        <v>0</v>
      </c>
      <c r="AD176" s="221"/>
    </row>
    <row r="177" spans="2:30" s="54" customFormat="1" ht="15" customHeight="1">
      <c r="B177" s="83" t="str">
        <f>Assumptions!C178</f>
        <v>Custom Operations #1</v>
      </c>
      <c r="C177" s="53"/>
      <c r="D177" s="227">
        <v>0</v>
      </c>
      <c r="E177" s="227">
        <v>0</v>
      </c>
      <c r="F177" s="227">
        <v>0</v>
      </c>
      <c r="G177" s="227">
        <v>0</v>
      </c>
      <c r="H177" s="227">
        <v>0</v>
      </c>
      <c r="I177" s="227">
        <v>0</v>
      </c>
      <c r="J177" s="232">
        <f t="shared" si="76"/>
        <v>0</v>
      </c>
      <c r="K177" s="220">
        <f>J177-'Start-Up Budget'!D177</f>
        <v>0</v>
      </c>
      <c r="L177" s="80"/>
      <c r="M177" s="282"/>
      <c r="N177" s="227">
        <v>0</v>
      </c>
      <c r="O177" s="227">
        <v>0</v>
      </c>
      <c r="P177" s="227">
        <v>0</v>
      </c>
      <c r="Q177" s="227">
        <v>0</v>
      </c>
      <c r="R177" s="227">
        <v>0</v>
      </c>
      <c r="S177" s="227">
        <v>0</v>
      </c>
      <c r="T177" s="227">
        <v>0</v>
      </c>
      <c r="U177" s="227">
        <v>0</v>
      </c>
      <c r="V177" s="227">
        <v>0</v>
      </c>
      <c r="W177" s="227">
        <v>0</v>
      </c>
      <c r="X177" s="227">
        <v>0</v>
      </c>
      <c r="Y177" s="227">
        <v>0</v>
      </c>
      <c r="Z177" s="294">
        <v>0</v>
      </c>
      <c r="AA177" s="232">
        <f t="shared" si="77"/>
        <v>0</v>
      </c>
      <c r="AB177" s="218">
        <f>AA177-'5 YR Budget'!D177</f>
        <v>0</v>
      </c>
      <c r="AD177" s="221"/>
    </row>
    <row r="178" spans="2:30" s="54" customFormat="1" ht="15" customHeight="1">
      <c r="B178" s="83" t="str">
        <f>Assumptions!C179</f>
        <v>Custom Operations #2</v>
      </c>
      <c r="C178" s="53"/>
      <c r="D178" s="227">
        <v>0</v>
      </c>
      <c r="E178" s="227">
        <v>0</v>
      </c>
      <c r="F178" s="227">
        <v>0</v>
      </c>
      <c r="G178" s="227">
        <v>0</v>
      </c>
      <c r="H178" s="227">
        <v>0</v>
      </c>
      <c r="I178" s="227">
        <v>0</v>
      </c>
      <c r="J178" s="232">
        <f t="shared" si="76"/>
        <v>0</v>
      </c>
      <c r="K178" s="220">
        <f>J178-'Start-Up Budget'!D178</f>
        <v>0</v>
      </c>
      <c r="L178" s="80"/>
      <c r="M178" s="282"/>
      <c r="N178" s="227">
        <v>0</v>
      </c>
      <c r="O178" s="227">
        <v>0</v>
      </c>
      <c r="P178" s="227">
        <v>0</v>
      </c>
      <c r="Q178" s="227">
        <v>0</v>
      </c>
      <c r="R178" s="227">
        <v>0</v>
      </c>
      <c r="S178" s="227">
        <v>0</v>
      </c>
      <c r="T178" s="227">
        <v>0</v>
      </c>
      <c r="U178" s="227">
        <v>0</v>
      </c>
      <c r="V178" s="227">
        <v>0</v>
      </c>
      <c r="W178" s="227">
        <v>0</v>
      </c>
      <c r="X178" s="227">
        <v>0</v>
      </c>
      <c r="Y178" s="227">
        <v>0</v>
      </c>
      <c r="Z178" s="294">
        <v>0</v>
      </c>
      <c r="AA178" s="232">
        <f t="shared" si="77"/>
        <v>0</v>
      </c>
      <c r="AB178" s="218">
        <f>AA178-'5 YR Budget'!D178</f>
        <v>0</v>
      </c>
      <c r="AD178" s="221"/>
    </row>
    <row r="179" spans="2:30" s="54" customFormat="1" ht="15" customHeight="1">
      <c r="B179" s="83" t="str">
        <f>Assumptions!C180</f>
        <v>Custom Operations #3</v>
      </c>
      <c r="C179" s="53"/>
      <c r="D179" s="227">
        <v>0</v>
      </c>
      <c r="E179" s="227">
        <v>0</v>
      </c>
      <c r="F179" s="227">
        <v>0</v>
      </c>
      <c r="G179" s="227">
        <v>0</v>
      </c>
      <c r="H179" s="227">
        <v>0</v>
      </c>
      <c r="I179" s="227">
        <v>0</v>
      </c>
      <c r="J179" s="232">
        <f t="shared" si="76"/>
        <v>0</v>
      </c>
      <c r="K179" s="220">
        <f>J179-'Start-Up Budget'!D179</f>
        <v>0</v>
      </c>
      <c r="L179" s="80"/>
      <c r="M179" s="282"/>
      <c r="N179" s="227">
        <v>0</v>
      </c>
      <c r="O179" s="227">
        <v>0</v>
      </c>
      <c r="P179" s="227">
        <v>0</v>
      </c>
      <c r="Q179" s="227">
        <v>0</v>
      </c>
      <c r="R179" s="227">
        <v>0</v>
      </c>
      <c r="S179" s="227">
        <v>0</v>
      </c>
      <c r="T179" s="227">
        <v>0</v>
      </c>
      <c r="U179" s="227">
        <v>0</v>
      </c>
      <c r="V179" s="227">
        <v>0</v>
      </c>
      <c r="W179" s="227">
        <v>0</v>
      </c>
      <c r="X179" s="227">
        <v>0</v>
      </c>
      <c r="Y179" s="227">
        <v>0</v>
      </c>
      <c r="Z179" s="294">
        <v>0</v>
      </c>
      <c r="AA179" s="232">
        <f t="shared" si="77"/>
        <v>0</v>
      </c>
      <c r="AB179" s="218">
        <f>AA179-'5 YR Budget'!D179</f>
        <v>0</v>
      </c>
      <c r="AD179" s="221"/>
    </row>
    <row r="180" spans="2:30" s="54" customFormat="1" ht="15" customHeight="1" thickBot="1">
      <c r="B180" s="81" t="str">
        <f>Assumptions!C181</f>
        <v>TOTAL SCHOOL OPERATIONS</v>
      </c>
      <c r="C180" s="53"/>
      <c r="D180" s="87">
        <f t="shared" ref="D180:I180" si="78">SUM(D158:D179)</f>
        <v>0</v>
      </c>
      <c r="E180" s="87">
        <f t="shared" si="78"/>
        <v>0</v>
      </c>
      <c r="F180" s="87">
        <f t="shared" si="78"/>
        <v>0</v>
      </c>
      <c r="G180" s="87">
        <f t="shared" si="78"/>
        <v>0</v>
      </c>
      <c r="H180" s="87">
        <f t="shared" si="78"/>
        <v>0</v>
      </c>
      <c r="I180" s="87">
        <f t="shared" si="78"/>
        <v>0</v>
      </c>
      <c r="J180" s="231">
        <f>SUM(J158:J179)</f>
        <v>0</v>
      </c>
      <c r="K180" s="220">
        <f>J180-'Start-Up Budget'!D180</f>
        <v>0</v>
      </c>
      <c r="L180" s="80"/>
      <c r="M180" s="282"/>
      <c r="N180" s="246">
        <f t="shared" ref="N180:S180" si="79">SUM(N158:N179)</f>
        <v>0</v>
      </c>
      <c r="O180" s="87">
        <f t="shared" si="79"/>
        <v>0</v>
      </c>
      <c r="P180" s="87">
        <f t="shared" si="79"/>
        <v>0</v>
      </c>
      <c r="Q180" s="87">
        <f t="shared" si="79"/>
        <v>0</v>
      </c>
      <c r="R180" s="87">
        <f t="shared" si="79"/>
        <v>0</v>
      </c>
      <c r="S180" s="87">
        <f t="shared" si="79"/>
        <v>0</v>
      </c>
      <c r="T180" s="87">
        <f t="shared" ref="T180:Z180" si="80">SUM(T158:T179)</f>
        <v>0</v>
      </c>
      <c r="U180" s="87">
        <f t="shared" si="80"/>
        <v>0</v>
      </c>
      <c r="V180" s="87">
        <f t="shared" si="80"/>
        <v>0</v>
      </c>
      <c r="W180" s="87">
        <f t="shared" si="80"/>
        <v>0</v>
      </c>
      <c r="X180" s="87">
        <f t="shared" si="80"/>
        <v>0</v>
      </c>
      <c r="Y180" s="87">
        <f t="shared" si="80"/>
        <v>0</v>
      </c>
      <c r="Z180" s="87">
        <f t="shared" si="80"/>
        <v>0</v>
      </c>
      <c r="AA180" s="231">
        <f>SUM(AA158:AA179)</f>
        <v>0</v>
      </c>
      <c r="AB180" s="218">
        <f>AA180-'5 YR Budget'!D180</f>
        <v>0</v>
      </c>
      <c r="AD180" s="221"/>
    </row>
    <row r="181" spans="2:30" s="54" customFormat="1" ht="6" customHeight="1" thickTop="1">
      <c r="B181" s="90"/>
      <c r="C181" s="53"/>
      <c r="D181" s="84"/>
      <c r="E181" s="84"/>
      <c r="F181" s="84"/>
      <c r="G181" s="84"/>
      <c r="H181" s="84"/>
      <c r="I181" s="84"/>
      <c r="J181" s="84"/>
      <c r="K181" s="79"/>
      <c r="L181" s="80"/>
      <c r="M181" s="282"/>
      <c r="N181" s="84"/>
      <c r="O181" s="84"/>
      <c r="P181" s="84"/>
      <c r="Q181" s="84"/>
      <c r="R181" s="84"/>
      <c r="S181" s="84"/>
      <c r="T181" s="84"/>
      <c r="U181" s="84"/>
      <c r="V181" s="84"/>
      <c r="W181" s="84"/>
      <c r="X181" s="84"/>
      <c r="Y181" s="84"/>
      <c r="Z181" s="84"/>
      <c r="AA181" s="84"/>
      <c r="AB181" s="84"/>
      <c r="AD181" s="221"/>
    </row>
    <row r="182" spans="2:30" s="54" customFormat="1" ht="15" customHeight="1">
      <c r="B182" s="81" t="str">
        <f>Assumptions!C183</f>
        <v>FACILITY OPERATION &amp; MAINTENANCE</v>
      </c>
      <c r="C182" s="53"/>
      <c r="D182" s="57"/>
      <c r="E182" s="57"/>
      <c r="F182" s="57"/>
      <c r="G182" s="57"/>
      <c r="H182" s="57"/>
      <c r="I182" s="57"/>
      <c r="J182" s="57"/>
      <c r="K182" s="79"/>
      <c r="L182" s="80"/>
      <c r="M182" s="282"/>
      <c r="N182" s="57"/>
      <c r="O182" s="57"/>
      <c r="P182" s="57"/>
      <c r="Q182" s="57"/>
      <c r="R182" s="57"/>
      <c r="S182" s="57"/>
      <c r="T182" s="57"/>
      <c r="U182" s="57"/>
      <c r="V182" s="57"/>
      <c r="W182" s="57"/>
      <c r="X182" s="57"/>
      <c r="Y182" s="57"/>
      <c r="Z182" s="57"/>
      <c r="AA182" s="57"/>
      <c r="AB182" s="57"/>
      <c r="AD182" s="221"/>
    </row>
    <row r="183" spans="2:30" s="54" customFormat="1" ht="15" customHeight="1">
      <c r="B183" s="83" t="str">
        <f>Assumptions!C184</f>
        <v>Insurance</v>
      </c>
      <c r="C183" s="53"/>
      <c r="D183" s="227">
        <v>0</v>
      </c>
      <c r="E183" s="227">
        <v>0</v>
      </c>
      <c r="F183" s="227">
        <v>0</v>
      </c>
      <c r="G183" s="227">
        <v>0</v>
      </c>
      <c r="H183" s="227">
        <v>0</v>
      </c>
      <c r="I183" s="227">
        <v>0</v>
      </c>
      <c r="J183" s="232">
        <f t="shared" ref="J183:J192" si="81">SUM(D183:I183)</f>
        <v>0</v>
      </c>
      <c r="K183" s="220">
        <f>J183-'Start-Up Budget'!D183</f>
        <v>0</v>
      </c>
      <c r="L183" s="80"/>
      <c r="M183" s="282"/>
      <c r="N183" s="227">
        <v>0</v>
      </c>
      <c r="O183" s="227">
        <v>0</v>
      </c>
      <c r="P183" s="227">
        <v>0</v>
      </c>
      <c r="Q183" s="227">
        <v>0</v>
      </c>
      <c r="R183" s="227">
        <v>0</v>
      </c>
      <c r="S183" s="227">
        <v>0</v>
      </c>
      <c r="T183" s="227">
        <v>0</v>
      </c>
      <c r="U183" s="227">
        <v>0</v>
      </c>
      <c r="V183" s="227">
        <v>0</v>
      </c>
      <c r="W183" s="227">
        <v>0</v>
      </c>
      <c r="X183" s="227">
        <v>0</v>
      </c>
      <c r="Y183" s="227">
        <v>0</v>
      </c>
      <c r="Z183" s="294">
        <v>0</v>
      </c>
      <c r="AA183" s="232">
        <f t="shared" ref="AA183:AA192" si="82">SUM(N183:Z183)</f>
        <v>0</v>
      </c>
      <c r="AB183" s="218">
        <f>AA183-'5 YR Budget'!D183</f>
        <v>0</v>
      </c>
      <c r="AD183" s="221"/>
    </row>
    <row r="184" spans="2:30" s="54" customFormat="1" ht="15" customHeight="1">
      <c r="B184" s="83" t="str">
        <f>Assumptions!C185</f>
        <v>Janitorial Services</v>
      </c>
      <c r="C184" s="53"/>
      <c r="D184" s="227">
        <v>0</v>
      </c>
      <c r="E184" s="227">
        <v>0</v>
      </c>
      <c r="F184" s="227">
        <v>0</v>
      </c>
      <c r="G184" s="227">
        <v>0</v>
      </c>
      <c r="H184" s="227">
        <v>0</v>
      </c>
      <c r="I184" s="227">
        <v>0</v>
      </c>
      <c r="J184" s="232">
        <f t="shared" si="81"/>
        <v>0</v>
      </c>
      <c r="K184" s="220">
        <f>J184-'Start-Up Budget'!D184</f>
        <v>0</v>
      </c>
      <c r="L184" s="80"/>
      <c r="M184" s="282"/>
      <c r="N184" s="227">
        <v>0</v>
      </c>
      <c r="O184" s="227">
        <v>0</v>
      </c>
      <c r="P184" s="227">
        <v>0</v>
      </c>
      <c r="Q184" s="227">
        <v>0</v>
      </c>
      <c r="R184" s="227">
        <v>0</v>
      </c>
      <c r="S184" s="227">
        <v>0</v>
      </c>
      <c r="T184" s="227">
        <v>0</v>
      </c>
      <c r="U184" s="227">
        <v>0</v>
      </c>
      <c r="V184" s="227">
        <v>0</v>
      </c>
      <c r="W184" s="227">
        <v>0</v>
      </c>
      <c r="X184" s="227">
        <v>0</v>
      </c>
      <c r="Y184" s="227">
        <v>0</v>
      </c>
      <c r="Z184" s="294">
        <v>0</v>
      </c>
      <c r="AA184" s="232">
        <f t="shared" si="82"/>
        <v>0</v>
      </c>
      <c r="AB184" s="218">
        <f>AA184-'5 YR Budget'!D184</f>
        <v>0</v>
      </c>
      <c r="AD184" s="221"/>
    </row>
    <row r="185" spans="2:30" s="54" customFormat="1" ht="15" customHeight="1">
      <c r="B185" s="83" t="str">
        <f>Assumptions!C186</f>
        <v>Building and Land Rent / Lease</v>
      </c>
      <c r="C185" s="53"/>
      <c r="D185" s="227">
        <v>0</v>
      </c>
      <c r="E185" s="227">
        <v>0</v>
      </c>
      <c r="F185" s="227">
        <v>0</v>
      </c>
      <c r="G185" s="227">
        <v>0</v>
      </c>
      <c r="H185" s="227">
        <v>0</v>
      </c>
      <c r="I185" s="227">
        <v>0</v>
      </c>
      <c r="J185" s="232">
        <f t="shared" si="81"/>
        <v>0</v>
      </c>
      <c r="K185" s="220">
        <f>J185-'Start-Up Budget'!D185</f>
        <v>0</v>
      </c>
      <c r="L185" s="80"/>
      <c r="M185" s="282"/>
      <c r="N185" s="227">
        <v>0</v>
      </c>
      <c r="O185" s="227">
        <v>0</v>
      </c>
      <c r="P185" s="227">
        <v>0</v>
      </c>
      <c r="Q185" s="227">
        <v>0</v>
      </c>
      <c r="R185" s="227">
        <v>0</v>
      </c>
      <c r="S185" s="227">
        <v>0</v>
      </c>
      <c r="T185" s="227">
        <v>0</v>
      </c>
      <c r="U185" s="227">
        <v>0</v>
      </c>
      <c r="V185" s="227">
        <v>0</v>
      </c>
      <c r="W185" s="227">
        <v>0</v>
      </c>
      <c r="X185" s="227">
        <v>0</v>
      </c>
      <c r="Y185" s="227">
        <v>0</v>
      </c>
      <c r="Z185" s="294">
        <v>0</v>
      </c>
      <c r="AA185" s="232">
        <f t="shared" si="82"/>
        <v>0</v>
      </c>
      <c r="AB185" s="218">
        <f>AA185-'5 YR Budget'!D185</f>
        <v>0</v>
      </c>
      <c r="AD185" s="221"/>
    </row>
    <row r="186" spans="2:30" s="54" customFormat="1" ht="15" customHeight="1">
      <c r="B186" s="83" t="str">
        <f>Assumptions!C187</f>
        <v xml:space="preserve">Repairs &amp; Maintenance </v>
      </c>
      <c r="C186" s="53"/>
      <c r="D186" s="227">
        <v>0</v>
      </c>
      <c r="E186" s="227">
        <v>0</v>
      </c>
      <c r="F186" s="227">
        <v>0</v>
      </c>
      <c r="G186" s="227">
        <v>0</v>
      </c>
      <c r="H186" s="227">
        <v>0</v>
      </c>
      <c r="I186" s="227">
        <v>0</v>
      </c>
      <c r="J186" s="232">
        <f t="shared" si="81"/>
        <v>0</v>
      </c>
      <c r="K186" s="220">
        <f>J186-'Start-Up Budget'!D186</f>
        <v>0</v>
      </c>
      <c r="L186" s="80"/>
      <c r="M186" s="282"/>
      <c r="N186" s="227">
        <v>0</v>
      </c>
      <c r="O186" s="227">
        <v>0</v>
      </c>
      <c r="P186" s="227">
        <v>0</v>
      </c>
      <c r="Q186" s="227">
        <v>0</v>
      </c>
      <c r="R186" s="227">
        <v>0</v>
      </c>
      <c r="S186" s="227">
        <v>0</v>
      </c>
      <c r="T186" s="227">
        <v>0</v>
      </c>
      <c r="U186" s="227">
        <v>0</v>
      </c>
      <c r="V186" s="227">
        <v>0</v>
      </c>
      <c r="W186" s="227">
        <v>0</v>
      </c>
      <c r="X186" s="227">
        <v>0</v>
      </c>
      <c r="Y186" s="227">
        <v>0</v>
      </c>
      <c r="Z186" s="294">
        <v>0</v>
      </c>
      <c r="AA186" s="232">
        <f t="shared" si="82"/>
        <v>0</v>
      </c>
      <c r="AB186" s="218">
        <f>AA186-'5 YR Budget'!D186</f>
        <v>0</v>
      </c>
      <c r="AD186" s="221"/>
    </row>
    <row r="187" spans="2:30" s="54" customFormat="1" ht="15" customHeight="1">
      <c r="B187" s="83" t="str">
        <f>Assumptions!C188</f>
        <v>Equipment / Furniture</v>
      </c>
      <c r="C187" s="53"/>
      <c r="D187" s="227">
        <v>0</v>
      </c>
      <c r="E187" s="227">
        <v>0</v>
      </c>
      <c r="F187" s="227">
        <v>0</v>
      </c>
      <c r="G187" s="227">
        <v>0</v>
      </c>
      <c r="H187" s="227">
        <v>0</v>
      </c>
      <c r="I187" s="227">
        <v>0</v>
      </c>
      <c r="J187" s="232">
        <f t="shared" si="81"/>
        <v>0</v>
      </c>
      <c r="K187" s="220">
        <f>J187-'Start-Up Budget'!D187</f>
        <v>0</v>
      </c>
      <c r="L187" s="80"/>
      <c r="M187" s="282"/>
      <c r="N187" s="227">
        <v>0</v>
      </c>
      <c r="O187" s="227">
        <v>0</v>
      </c>
      <c r="P187" s="227">
        <v>0</v>
      </c>
      <c r="Q187" s="227">
        <v>0</v>
      </c>
      <c r="R187" s="227">
        <v>0</v>
      </c>
      <c r="S187" s="227">
        <v>0</v>
      </c>
      <c r="T187" s="227">
        <v>0</v>
      </c>
      <c r="U187" s="227">
        <v>0</v>
      </c>
      <c r="V187" s="227">
        <v>0</v>
      </c>
      <c r="W187" s="227">
        <v>0</v>
      </c>
      <c r="X187" s="227">
        <v>0</v>
      </c>
      <c r="Y187" s="227">
        <v>0</v>
      </c>
      <c r="Z187" s="294">
        <v>0</v>
      </c>
      <c r="AA187" s="232">
        <f t="shared" si="82"/>
        <v>0</v>
      </c>
      <c r="AB187" s="218">
        <f>AA187-'5 YR Budget'!D187</f>
        <v>0</v>
      </c>
      <c r="AD187" s="221"/>
    </row>
    <row r="188" spans="2:30" s="54" customFormat="1" ht="15" customHeight="1">
      <c r="B188" s="83" t="str">
        <f>Assumptions!C189</f>
        <v>Security Services</v>
      </c>
      <c r="C188" s="53"/>
      <c r="D188" s="227">
        <v>0</v>
      </c>
      <c r="E188" s="227">
        <v>0</v>
      </c>
      <c r="F188" s="227">
        <v>0</v>
      </c>
      <c r="G188" s="227">
        <v>0</v>
      </c>
      <c r="H188" s="227">
        <v>0</v>
      </c>
      <c r="I188" s="227">
        <v>0</v>
      </c>
      <c r="J188" s="232">
        <f t="shared" si="81"/>
        <v>0</v>
      </c>
      <c r="K188" s="220">
        <f>J188-'Start-Up Budget'!D188</f>
        <v>0</v>
      </c>
      <c r="L188" s="80"/>
      <c r="M188" s="282"/>
      <c r="N188" s="227">
        <v>0</v>
      </c>
      <c r="O188" s="227">
        <v>0</v>
      </c>
      <c r="P188" s="227">
        <v>0</v>
      </c>
      <c r="Q188" s="227">
        <v>0</v>
      </c>
      <c r="R188" s="227">
        <v>0</v>
      </c>
      <c r="S188" s="227">
        <v>0</v>
      </c>
      <c r="T188" s="227">
        <v>0</v>
      </c>
      <c r="U188" s="227">
        <v>0</v>
      </c>
      <c r="V188" s="227">
        <v>0</v>
      </c>
      <c r="W188" s="227">
        <v>0</v>
      </c>
      <c r="X188" s="227">
        <v>0</v>
      </c>
      <c r="Y188" s="227">
        <v>0</v>
      </c>
      <c r="Z188" s="294">
        <v>0</v>
      </c>
      <c r="AA188" s="232">
        <f t="shared" si="82"/>
        <v>0</v>
      </c>
      <c r="AB188" s="218">
        <f>AA188-'5 YR Budget'!D188</f>
        <v>0</v>
      </c>
      <c r="AD188" s="221"/>
    </row>
    <row r="189" spans="2:30" s="54" customFormat="1" ht="15" customHeight="1">
      <c r="B189" s="83" t="str">
        <f>Assumptions!C190</f>
        <v>Utilities</v>
      </c>
      <c r="C189" s="53"/>
      <c r="D189" s="227">
        <v>0</v>
      </c>
      <c r="E189" s="227">
        <v>0</v>
      </c>
      <c r="F189" s="227">
        <v>0</v>
      </c>
      <c r="G189" s="227">
        <v>0</v>
      </c>
      <c r="H189" s="227">
        <v>0</v>
      </c>
      <c r="I189" s="227">
        <v>0</v>
      </c>
      <c r="J189" s="232">
        <f t="shared" si="81"/>
        <v>0</v>
      </c>
      <c r="K189" s="220">
        <f>J189-'Start-Up Budget'!D189</f>
        <v>0</v>
      </c>
      <c r="L189" s="80"/>
      <c r="M189" s="282"/>
      <c r="N189" s="227">
        <v>0</v>
      </c>
      <c r="O189" s="227">
        <v>0</v>
      </c>
      <c r="P189" s="227">
        <v>0</v>
      </c>
      <c r="Q189" s="227">
        <v>0</v>
      </c>
      <c r="R189" s="227">
        <v>0</v>
      </c>
      <c r="S189" s="227">
        <v>0</v>
      </c>
      <c r="T189" s="227">
        <v>0</v>
      </c>
      <c r="U189" s="227">
        <v>0</v>
      </c>
      <c r="V189" s="227">
        <v>0</v>
      </c>
      <c r="W189" s="227">
        <v>0</v>
      </c>
      <c r="X189" s="227">
        <v>0</v>
      </c>
      <c r="Y189" s="227">
        <v>0</v>
      </c>
      <c r="Z189" s="294">
        <v>0</v>
      </c>
      <c r="AA189" s="232">
        <f t="shared" si="82"/>
        <v>0</v>
      </c>
      <c r="AB189" s="218">
        <f>AA189-'5 YR Budget'!D189</f>
        <v>0</v>
      </c>
      <c r="AD189" s="221"/>
    </row>
    <row r="190" spans="2:30" s="54" customFormat="1" ht="15" customHeight="1">
      <c r="B190" s="83" t="str">
        <f>Assumptions!C191</f>
        <v>Custom Facilities Operations #1</v>
      </c>
      <c r="C190" s="53"/>
      <c r="D190" s="227">
        <v>0</v>
      </c>
      <c r="E190" s="227">
        <v>0</v>
      </c>
      <c r="F190" s="227">
        <v>0</v>
      </c>
      <c r="G190" s="227">
        <v>0</v>
      </c>
      <c r="H190" s="227">
        <v>0</v>
      </c>
      <c r="I190" s="227">
        <v>0</v>
      </c>
      <c r="J190" s="232">
        <f t="shared" si="81"/>
        <v>0</v>
      </c>
      <c r="K190" s="220">
        <f>J190-'Start-Up Budget'!D190</f>
        <v>0</v>
      </c>
      <c r="L190" s="80"/>
      <c r="M190" s="282"/>
      <c r="N190" s="227">
        <v>0</v>
      </c>
      <c r="O190" s="227">
        <v>0</v>
      </c>
      <c r="P190" s="227">
        <v>0</v>
      </c>
      <c r="Q190" s="227">
        <v>0</v>
      </c>
      <c r="R190" s="227">
        <v>0</v>
      </c>
      <c r="S190" s="227">
        <v>0</v>
      </c>
      <c r="T190" s="227">
        <v>0</v>
      </c>
      <c r="U190" s="227">
        <v>0</v>
      </c>
      <c r="V190" s="227">
        <v>0</v>
      </c>
      <c r="W190" s="227">
        <v>0</v>
      </c>
      <c r="X190" s="227">
        <v>0</v>
      </c>
      <c r="Y190" s="227">
        <v>0</v>
      </c>
      <c r="Z190" s="294">
        <v>0</v>
      </c>
      <c r="AA190" s="232">
        <f t="shared" si="82"/>
        <v>0</v>
      </c>
      <c r="AB190" s="218">
        <f>AA190-'5 YR Budget'!D190</f>
        <v>0</v>
      </c>
      <c r="AD190" s="221"/>
    </row>
    <row r="191" spans="2:30" s="54" customFormat="1" ht="15" customHeight="1">
      <c r="B191" s="83" t="str">
        <f>Assumptions!C192</f>
        <v>Custom Facilities Operations #2</v>
      </c>
      <c r="C191" s="53"/>
      <c r="D191" s="227">
        <v>0</v>
      </c>
      <c r="E191" s="227">
        <v>0</v>
      </c>
      <c r="F191" s="227">
        <v>0</v>
      </c>
      <c r="G191" s="227">
        <v>0</v>
      </c>
      <c r="H191" s="227">
        <v>0</v>
      </c>
      <c r="I191" s="227">
        <v>0</v>
      </c>
      <c r="J191" s="232">
        <f t="shared" si="81"/>
        <v>0</v>
      </c>
      <c r="K191" s="220">
        <f>J191-'Start-Up Budget'!D191</f>
        <v>0</v>
      </c>
      <c r="L191" s="80"/>
      <c r="M191" s="282"/>
      <c r="N191" s="227">
        <v>0</v>
      </c>
      <c r="O191" s="227">
        <v>0</v>
      </c>
      <c r="P191" s="227">
        <v>0</v>
      </c>
      <c r="Q191" s="227">
        <v>0</v>
      </c>
      <c r="R191" s="227">
        <v>0</v>
      </c>
      <c r="S191" s="227">
        <v>0</v>
      </c>
      <c r="T191" s="227">
        <v>0</v>
      </c>
      <c r="U191" s="227">
        <v>0</v>
      </c>
      <c r="V191" s="227">
        <v>0</v>
      </c>
      <c r="W191" s="227">
        <v>0</v>
      </c>
      <c r="X191" s="227">
        <v>0</v>
      </c>
      <c r="Y191" s="227">
        <v>0</v>
      </c>
      <c r="Z191" s="294">
        <v>0</v>
      </c>
      <c r="AA191" s="232">
        <f t="shared" si="82"/>
        <v>0</v>
      </c>
      <c r="AB191" s="218">
        <f>AA191-'5 YR Budget'!D191</f>
        <v>0</v>
      </c>
      <c r="AD191" s="221"/>
    </row>
    <row r="192" spans="2:30" s="54" customFormat="1" ht="15" customHeight="1">
      <c r="B192" s="83" t="str">
        <f>Assumptions!C193</f>
        <v>Custom Facilities Operations #3</v>
      </c>
      <c r="C192" s="53"/>
      <c r="D192" s="227">
        <v>0</v>
      </c>
      <c r="E192" s="227">
        <v>0</v>
      </c>
      <c r="F192" s="227">
        <v>0</v>
      </c>
      <c r="G192" s="227">
        <v>0</v>
      </c>
      <c r="H192" s="227">
        <v>0</v>
      </c>
      <c r="I192" s="227">
        <v>0</v>
      </c>
      <c r="J192" s="232">
        <f t="shared" si="81"/>
        <v>0</v>
      </c>
      <c r="K192" s="220">
        <f>J192-'Start-Up Budget'!D192</f>
        <v>0</v>
      </c>
      <c r="L192" s="80"/>
      <c r="M192" s="282"/>
      <c r="N192" s="227">
        <v>0</v>
      </c>
      <c r="O192" s="227">
        <v>0</v>
      </c>
      <c r="P192" s="227">
        <v>0</v>
      </c>
      <c r="Q192" s="227">
        <v>0</v>
      </c>
      <c r="R192" s="227">
        <v>0</v>
      </c>
      <c r="S192" s="227">
        <v>0</v>
      </c>
      <c r="T192" s="227">
        <v>0</v>
      </c>
      <c r="U192" s="227">
        <v>0</v>
      </c>
      <c r="V192" s="227">
        <v>0</v>
      </c>
      <c r="W192" s="227">
        <v>0</v>
      </c>
      <c r="X192" s="227">
        <v>0</v>
      </c>
      <c r="Y192" s="227">
        <v>0</v>
      </c>
      <c r="Z192" s="294">
        <v>0</v>
      </c>
      <c r="AA192" s="232">
        <f t="shared" si="82"/>
        <v>0</v>
      </c>
      <c r="AB192" s="218">
        <f>AA192-'5 YR Budget'!D192</f>
        <v>0</v>
      </c>
      <c r="AD192" s="221"/>
    </row>
    <row r="193" spans="2:30" s="54" customFormat="1" ht="15" customHeight="1" thickBot="1">
      <c r="B193" s="81" t="str">
        <f>Assumptions!C194</f>
        <v>TOTAL FACILITY OPERATION &amp; MAINTENANCE</v>
      </c>
      <c r="C193" s="53"/>
      <c r="D193" s="91">
        <f t="shared" ref="D193:I193" si="83">SUM(D183:D192)</f>
        <v>0</v>
      </c>
      <c r="E193" s="91">
        <f t="shared" si="83"/>
        <v>0</v>
      </c>
      <c r="F193" s="91">
        <f t="shared" si="83"/>
        <v>0</v>
      </c>
      <c r="G193" s="91">
        <f t="shared" si="83"/>
        <v>0</v>
      </c>
      <c r="H193" s="91">
        <f t="shared" si="83"/>
        <v>0</v>
      </c>
      <c r="I193" s="91">
        <f t="shared" si="83"/>
        <v>0</v>
      </c>
      <c r="J193" s="231">
        <f>SUM(J183:J192)</f>
        <v>0</v>
      </c>
      <c r="K193" s="220">
        <f>J193-'Start-Up Budget'!D193</f>
        <v>0</v>
      </c>
      <c r="L193" s="80"/>
      <c r="M193" s="282"/>
      <c r="N193" s="246">
        <f t="shared" ref="N193:S193" si="84">SUM(N183:N192)</f>
        <v>0</v>
      </c>
      <c r="O193" s="91">
        <f t="shared" si="84"/>
        <v>0</v>
      </c>
      <c r="P193" s="91">
        <f t="shared" si="84"/>
        <v>0</v>
      </c>
      <c r="Q193" s="91">
        <f t="shared" si="84"/>
        <v>0</v>
      </c>
      <c r="R193" s="91">
        <f t="shared" si="84"/>
        <v>0</v>
      </c>
      <c r="S193" s="91">
        <f t="shared" si="84"/>
        <v>0</v>
      </c>
      <c r="T193" s="91">
        <f t="shared" ref="T193:Z193" si="85">SUM(T183:T192)</f>
        <v>0</v>
      </c>
      <c r="U193" s="91">
        <f t="shared" si="85"/>
        <v>0</v>
      </c>
      <c r="V193" s="91">
        <f t="shared" si="85"/>
        <v>0</v>
      </c>
      <c r="W193" s="91">
        <f t="shared" si="85"/>
        <v>0</v>
      </c>
      <c r="X193" s="91">
        <f t="shared" si="85"/>
        <v>0</v>
      </c>
      <c r="Y193" s="91">
        <f t="shared" si="85"/>
        <v>0</v>
      </c>
      <c r="Z193" s="91">
        <f t="shared" si="85"/>
        <v>0</v>
      </c>
      <c r="AA193" s="231">
        <f>SUM(AA183:AA192)</f>
        <v>0</v>
      </c>
      <c r="AB193" s="218">
        <f>AA193-'5 YR Budget'!D193</f>
        <v>0</v>
      </c>
      <c r="AD193" s="221"/>
    </row>
    <row r="194" spans="2:30" s="54" customFormat="1" ht="6" customHeight="1" thickTop="1">
      <c r="B194" s="81"/>
      <c r="C194" s="53"/>
      <c r="D194" s="96"/>
      <c r="E194" s="96"/>
      <c r="F194" s="96"/>
      <c r="G194" s="96"/>
      <c r="H194" s="96"/>
      <c r="I194" s="96"/>
      <c r="J194" s="96"/>
      <c r="K194" s="234"/>
      <c r="L194" s="80"/>
      <c r="M194" s="282"/>
      <c r="N194" s="96"/>
      <c r="O194" s="96"/>
      <c r="P194" s="96"/>
      <c r="Q194" s="96"/>
      <c r="R194" s="96"/>
      <c r="S194" s="96"/>
      <c r="T194" s="96"/>
      <c r="U194" s="96"/>
      <c r="V194" s="96"/>
      <c r="W194" s="96"/>
      <c r="X194" s="96"/>
      <c r="Y194" s="96"/>
      <c r="Z194" s="96"/>
      <c r="AA194" s="96"/>
      <c r="AB194" s="96"/>
      <c r="AD194" s="221"/>
    </row>
    <row r="195" spans="2:30" s="54" customFormat="1" ht="15" customHeight="1">
      <c r="B195" s="81" t="str">
        <f>Assumptions!C196</f>
        <v>RESERVES / CONTIGENCY</v>
      </c>
      <c r="C195" s="53"/>
      <c r="D195" s="227">
        <v>0</v>
      </c>
      <c r="E195" s="227">
        <v>0</v>
      </c>
      <c r="F195" s="227">
        <v>0</v>
      </c>
      <c r="G195" s="227">
        <v>0</v>
      </c>
      <c r="H195" s="227">
        <v>0</v>
      </c>
      <c r="I195" s="227">
        <v>0</v>
      </c>
      <c r="J195" s="232">
        <f>SUM(D195:I195)</f>
        <v>0</v>
      </c>
      <c r="K195" s="220">
        <f>J195-'Start-Up Budget'!D195</f>
        <v>0</v>
      </c>
      <c r="L195" s="80"/>
      <c r="M195" s="282"/>
      <c r="N195" s="227">
        <v>0</v>
      </c>
      <c r="O195" s="227">
        <v>0</v>
      </c>
      <c r="P195" s="227">
        <v>0</v>
      </c>
      <c r="Q195" s="227">
        <v>0</v>
      </c>
      <c r="R195" s="227">
        <v>0</v>
      </c>
      <c r="S195" s="227">
        <v>0</v>
      </c>
      <c r="T195" s="227">
        <v>0</v>
      </c>
      <c r="U195" s="227">
        <v>0</v>
      </c>
      <c r="V195" s="227">
        <v>0</v>
      </c>
      <c r="W195" s="227">
        <v>0</v>
      </c>
      <c r="X195" s="227">
        <v>0</v>
      </c>
      <c r="Y195" s="227">
        <v>0</v>
      </c>
      <c r="Z195" s="294">
        <v>0</v>
      </c>
      <c r="AA195" s="232">
        <f>SUM(N195:Z195)</f>
        <v>0</v>
      </c>
      <c r="AB195" s="218">
        <f>AA195-'5 YR Budget'!D195</f>
        <v>0</v>
      </c>
      <c r="AD195" s="221"/>
    </row>
    <row r="196" spans="2:30" s="54" customFormat="1" ht="6" customHeight="1">
      <c r="B196" s="81"/>
      <c r="C196" s="53"/>
      <c r="D196" s="99"/>
      <c r="E196" s="99"/>
      <c r="F196" s="99"/>
      <c r="G196" s="99"/>
      <c r="H196" s="99"/>
      <c r="I196" s="99"/>
      <c r="J196" s="99"/>
      <c r="K196" s="220"/>
      <c r="L196" s="80"/>
      <c r="M196" s="282"/>
      <c r="N196" s="99"/>
      <c r="O196" s="99"/>
      <c r="P196" s="99"/>
      <c r="Q196" s="99"/>
      <c r="R196" s="99"/>
      <c r="S196" s="99"/>
      <c r="T196" s="99"/>
      <c r="U196" s="99"/>
      <c r="V196" s="99"/>
      <c r="W196" s="99"/>
      <c r="X196" s="99"/>
      <c r="Y196" s="99"/>
      <c r="Z196" s="99"/>
      <c r="AA196" s="99"/>
      <c r="AB196" s="98"/>
      <c r="AD196" s="221"/>
    </row>
    <row r="197" spans="2:30" s="54" customFormat="1" ht="15" customHeight="1">
      <c r="B197" s="81" t="str">
        <f>Assumptions!C198</f>
        <v>TOTAL EXPENSES</v>
      </c>
      <c r="C197" s="53"/>
      <c r="D197" s="100">
        <f t="shared" ref="D197:J197" si="86">SUM(D140+D155+D180+D193+D195)</f>
        <v>0</v>
      </c>
      <c r="E197" s="100">
        <f t="shared" si="86"/>
        <v>0</v>
      </c>
      <c r="F197" s="100">
        <f t="shared" si="86"/>
        <v>0</v>
      </c>
      <c r="G197" s="100">
        <f t="shared" si="86"/>
        <v>0</v>
      </c>
      <c r="H197" s="100">
        <f t="shared" si="86"/>
        <v>0</v>
      </c>
      <c r="I197" s="100">
        <f t="shared" si="86"/>
        <v>0</v>
      </c>
      <c r="J197" s="100">
        <f t="shared" si="86"/>
        <v>0</v>
      </c>
      <c r="K197" s="220">
        <f>J197-'Start-Up Budget'!D197</f>
        <v>0</v>
      </c>
      <c r="L197" s="80"/>
      <c r="M197" s="282"/>
      <c r="N197" s="247">
        <f t="shared" ref="N197:S197" si="87">SUM(N140+N155+N180+N193+N195)</f>
        <v>0</v>
      </c>
      <c r="O197" s="100">
        <f t="shared" si="87"/>
        <v>0</v>
      </c>
      <c r="P197" s="100">
        <f t="shared" si="87"/>
        <v>0</v>
      </c>
      <c r="Q197" s="100">
        <f t="shared" si="87"/>
        <v>0</v>
      </c>
      <c r="R197" s="100">
        <f t="shared" si="87"/>
        <v>0</v>
      </c>
      <c r="S197" s="100">
        <f t="shared" si="87"/>
        <v>0</v>
      </c>
      <c r="T197" s="100">
        <f t="shared" ref="T197:Y197" si="88">SUM(T140+T155+T180+T193+T195)</f>
        <v>0</v>
      </c>
      <c r="U197" s="100">
        <f t="shared" si="88"/>
        <v>0</v>
      </c>
      <c r="V197" s="100">
        <f t="shared" si="88"/>
        <v>0</v>
      </c>
      <c r="W197" s="100">
        <f t="shared" si="88"/>
        <v>0</v>
      </c>
      <c r="X197" s="100">
        <f t="shared" si="88"/>
        <v>0</v>
      </c>
      <c r="Y197" s="100">
        <f t="shared" si="88"/>
        <v>0</v>
      </c>
      <c r="Z197" s="100">
        <f t="shared" ref="Z197" si="89">SUM(Z140+Z155+Z180+Z193+Z195)</f>
        <v>0</v>
      </c>
      <c r="AA197" s="100">
        <f>SUM(AA140+AA155+AA180+AA193+AA195)</f>
        <v>0</v>
      </c>
      <c r="AB197" s="218">
        <f>AA197-'5 YR Budget'!D197</f>
        <v>0</v>
      </c>
      <c r="AD197" s="221"/>
    </row>
    <row r="198" spans="2:30" s="54" customFormat="1" ht="15" customHeight="1" thickBot="1">
      <c r="B198" s="81" t="str">
        <f>Assumptions!C199</f>
        <v>NET OPERATING INCOME (before Depreciation)</v>
      </c>
      <c r="C198" s="97"/>
      <c r="D198" s="91">
        <f t="shared" ref="D198:I198" si="90">D90-D197</f>
        <v>0</v>
      </c>
      <c r="E198" s="91">
        <f t="shared" si="90"/>
        <v>0</v>
      </c>
      <c r="F198" s="91">
        <f t="shared" si="90"/>
        <v>0</v>
      </c>
      <c r="G198" s="91">
        <f t="shared" si="90"/>
        <v>0</v>
      </c>
      <c r="H198" s="91">
        <f t="shared" si="90"/>
        <v>0</v>
      </c>
      <c r="I198" s="91">
        <f t="shared" si="90"/>
        <v>0</v>
      </c>
      <c r="J198" s="91">
        <f>J90-J197</f>
        <v>0</v>
      </c>
      <c r="K198" s="220">
        <f>J198-'Start-Up Budget'!D198</f>
        <v>0</v>
      </c>
      <c r="L198" s="80"/>
      <c r="M198" s="282"/>
      <c r="N198" s="246">
        <f t="shared" ref="N198:S198" si="91">N90-N197</f>
        <v>0</v>
      </c>
      <c r="O198" s="91">
        <f t="shared" si="91"/>
        <v>0</v>
      </c>
      <c r="P198" s="91">
        <f t="shared" si="91"/>
        <v>0</v>
      </c>
      <c r="Q198" s="91">
        <f t="shared" si="91"/>
        <v>0</v>
      </c>
      <c r="R198" s="91">
        <f t="shared" si="91"/>
        <v>0</v>
      </c>
      <c r="S198" s="91">
        <f t="shared" si="91"/>
        <v>0</v>
      </c>
      <c r="T198" s="91">
        <f t="shared" ref="T198:AA198" si="92">T90-T197</f>
        <v>0</v>
      </c>
      <c r="U198" s="91">
        <f t="shared" si="92"/>
        <v>0</v>
      </c>
      <c r="V198" s="91">
        <f t="shared" si="92"/>
        <v>0</v>
      </c>
      <c r="W198" s="91">
        <f t="shared" si="92"/>
        <v>0</v>
      </c>
      <c r="X198" s="91">
        <f t="shared" si="92"/>
        <v>0</v>
      </c>
      <c r="Y198" s="91">
        <f t="shared" si="92"/>
        <v>0</v>
      </c>
      <c r="Z198" s="91">
        <f t="shared" ref="Z198" si="93">Z90-Z197</f>
        <v>0</v>
      </c>
      <c r="AA198" s="91">
        <f t="shared" si="92"/>
        <v>0</v>
      </c>
      <c r="AB198" s="218">
        <f>AA198-'5 YR Budget'!D198</f>
        <v>0</v>
      </c>
      <c r="AD198" s="221"/>
    </row>
    <row r="199" spans="2:30" s="54" customFormat="1" ht="6" customHeight="1" thickTop="1">
      <c r="B199" s="81"/>
      <c r="C199" s="53"/>
      <c r="D199" s="96"/>
      <c r="E199" s="96"/>
      <c r="F199" s="96"/>
      <c r="G199" s="96"/>
      <c r="H199" s="96"/>
      <c r="I199" s="96"/>
      <c r="J199" s="96"/>
      <c r="K199" s="234"/>
      <c r="L199" s="80"/>
      <c r="M199" s="282"/>
      <c r="N199" s="96"/>
      <c r="O199" s="96"/>
      <c r="P199" s="96"/>
      <c r="Q199" s="96"/>
      <c r="R199" s="96"/>
      <c r="S199" s="96"/>
      <c r="T199" s="96"/>
      <c r="U199" s="96"/>
      <c r="V199" s="96"/>
      <c r="W199" s="96"/>
      <c r="X199" s="96"/>
      <c r="Y199" s="96"/>
      <c r="Z199" s="96"/>
      <c r="AA199" s="96"/>
      <c r="AB199" s="96"/>
      <c r="AD199" s="221"/>
    </row>
    <row r="200" spans="2:30" s="54" customFormat="1" ht="15" customHeight="1">
      <c r="B200" s="81" t="str">
        <f>Assumptions!C201</f>
        <v>DEPRECIATION &amp; AMORTIZATION</v>
      </c>
      <c r="C200" s="53"/>
      <c r="D200" s="227">
        <v>0</v>
      </c>
      <c r="E200" s="227">
        <v>0</v>
      </c>
      <c r="F200" s="227">
        <v>0</v>
      </c>
      <c r="G200" s="227">
        <v>0</v>
      </c>
      <c r="H200" s="227">
        <v>0</v>
      </c>
      <c r="I200" s="227">
        <v>0</v>
      </c>
      <c r="J200" s="232">
        <f>SUM(D200:I200)</f>
        <v>0</v>
      </c>
      <c r="K200" s="220">
        <f>J200-'Start-Up Budget'!D200</f>
        <v>0</v>
      </c>
      <c r="L200" s="80"/>
      <c r="M200" s="282"/>
      <c r="N200" s="227">
        <v>0</v>
      </c>
      <c r="O200" s="227">
        <v>0</v>
      </c>
      <c r="P200" s="227">
        <v>0</v>
      </c>
      <c r="Q200" s="227">
        <v>0</v>
      </c>
      <c r="R200" s="227">
        <v>0</v>
      </c>
      <c r="S200" s="227">
        <v>0</v>
      </c>
      <c r="T200" s="227">
        <v>0</v>
      </c>
      <c r="U200" s="227">
        <v>0</v>
      </c>
      <c r="V200" s="227">
        <v>0</v>
      </c>
      <c r="W200" s="227">
        <v>0</v>
      </c>
      <c r="X200" s="227">
        <v>0</v>
      </c>
      <c r="Y200" s="227">
        <v>0</v>
      </c>
      <c r="Z200" s="294">
        <v>0</v>
      </c>
      <c r="AA200" s="232">
        <f>SUM(N200:Z200)</f>
        <v>0</v>
      </c>
      <c r="AB200" s="218">
        <f>AA200-'5 YR Budget'!D200</f>
        <v>0</v>
      </c>
      <c r="AD200" s="221"/>
    </row>
    <row r="201" spans="2:30" s="54" customFormat="1" ht="6" customHeight="1">
      <c r="B201" s="81"/>
      <c r="C201" s="53"/>
      <c r="D201" s="96"/>
      <c r="E201" s="96"/>
      <c r="F201" s="96"/>
      <c r="G201" s="96"/>
      <c r="H201" s="96"/>
      <c r="I201" s="96"/>
      <c r="J201" s="96"/>
      <c r="K201" s="234"/>
      <c r="L201" s="80"/>
      <c r="M201" s="282"/>
      <c r="N201" s="96"/>
      <c r="O201" s="96"/>
      <c r="P201" s="96"/>
      <c r="Q201" s="96"/>
      <c r="R201" s="96"/>
      <c r="S201" s="96"/>
      <c r="T201" s="96"/>
      <c r="U201" s="96"/>
      <c r="V201" s="96"/>
      <c r="W201" s="96"/>
      <c r="X201" s="96"/>
      <c r="Y201" s="96"/>
      <c r="Z201" s="96"/>
      <c r="AA201" s="96"/>
      <c r="AB201" s="96"/>
      <c r="AD201" s="221"/>
    </row>
    <row r="202" spans="2:30" s="162" customFormat="1" ht="15" customHeight="1" thickBot="1">
      <c r="B202" s="338" t="str">
        <f>Assumptions!C203</f>
        <v>NET OPERATING INCOME (including Depreciation)</v>
      </c>
      <c r="C202" s="64"/>
      <c r="D202" s="339">
        <f t="shared" ref="D202:I202" si="94">D198-D200</f>
        <v>0</v>
      </c>
      <c r="E202" s="339">
        <f t="shared" si="94"/>
        <v>0</v>
      </c>
      <c r="F202" s="339">
        <f t="shared" si="94"/>
        <v>0</v>
      </c>
      <c r="G202" s="339">
        <f t="shared" si="94"/>
        <v>0</v>
      </c>
      <c r="H202" s="339">
        <f t="shared" si="94"/>
        <v>0</v>
      </c>
      <c r="I202" s="339">
        <f t="shared" si="94"/>
        <v>0</v>
      </c>
      <c r="J202" s="339">
        <f>J198-J200</f>
        <v>0</v>
      </c>
      <c r="K202" s="220">
        <f>J202-'Start-Up Budget'!D202</f>
        <v>0</v>
      </c>
      <c r="L202" s="336"/>
      <c r="M202" s="282"/>
      <c r="N202" s="340">
        <f t="shared" ref="N202:S202" si="95">N198-N200</f>
        <v>0</v>
      </c>
      <c r="O202" s="339">
        <f t="shared" si="95"/>
        <v>0</v>
      </c>
      <c r="P202" s="339">
        <f t="shared" si="95"/>
        <v>0</v>
      </c>
      <c r="Q202" s="339">
        <f t="shared" si="95"/>
        <v>0</v>
      </c>
      <c r="R202" s="339">
        <f t="shared" si="95"/>
        <v>0</v>
      </c>
      <c r="S202" s="339">
        <f t="shared" si="95"/>
        <v>0</v>
      </c>
      <c r="T202" s="339">
        <f t="shared" ref="T202:AA202" si="96">T198-T200</f>
        <v>0</v>
      </c>
      <c r="U202" s="339">
        <f t="shared" si="96"/>
        <v>0</v>
      </c>
      <c r="V202" s="339">
        <f t="shared" si="96"/>
        <v>0</v>
      </c>
      <c r="W202" s="339">
        <f t="shared" si="96"/>
        <v>0</v>
      </c>
      <c r="X202" s="339">
        <f t="shared" si="96"/>
        <v>0</v>
      </c>
      <c r="Y202" s="339">
        <f t="shared" si="96"/>
        <v>0</v>
      </c>
      <c r="Z202" s="339">
        <f t="shared" si="96"/>
        <v>0</v>
      </c>
      <c r="AA202" s="339">
        <f t="shared" si="96"/>
        <v>0</v>
      </c>
      <c r="AB202" s="218">
        <f>AA202-'5 YR Budget'!D202</f>
        <v>0</v>
      </c>
      <c r="AD202" s="221"/>
    </row>
    <row r="203" spans="2:30" s="54" customFormat="1" ht="15" customHeight="1" thickTop="1">
      <c r="B203" s="81"/>
      <c r="C203" s="53"/>
      <c r="D203" s="96"/>
      <c r="E203" s="96"/>
      <c r="F203" s="96"/>
      <c r="G203" s="96"/>
      <c r="H203" s="96"/>
      <c r="I203" s="96"/>
      <c r="J203" s="96"/>
      <c r="K203" s="234"/>
      <c r="L203" s="80"/>
      <c r="M203" s="221"/>
      <c r="N203" s="52"/>
      <c r="O203" s="52"/>
      <c r="P203" s="52"/>
      <c r="Q203" s="52"/>
      <c r="R203" s="52"/>
      <c r="S203" s="52"/>
      <c r="T203" s="52"/>
      <c r="U203" s="52"/>
      <c r="V203" s="52"/>
      <c r="AD203" s="221"/>
    </row>
  </sheetData>
  <sheetProtection algorithmName="SHA-512" hashValue="azBrIB0HXYRQXl7czqG7c99hmBm81d6mToVttuDM9QDyNovgfvWG/0Qu2YffNg/EThMxFdUP/4wuinchvzJDuw==" saltValue="inQKOltVJnTmzKqKfjFaJA==" spinCount="100000" sheet="1" objects="1" scenarios="1" formatColumns="0" formatRows="0"/>
  <mergeCells count="3">
    <mergeCell ref="N5:AD5"/>
    <mergeCell ref="N6:AD6"/>
    <mergeCell ref="D5:M5"/>
  </mergeCells>
  <conditionalFormatting sqref="J181:K181 J94:J100 J104:J111 J115:J119 J125:J137 J158:J179 J183:J192 J196:K196 J200 J195 J143:J154">
    <cfRule type="expression" dxfId="70" priority="71">
      <formula>#REF!=3</formula>
    </cfRule>
  </conditionalFormatting>
  <conditionalFormatting sqref="D181 D94:D100 D104:D111 D115:D119 D125:D137 D183:D192 D158:D179 D195:D196 D200 D143:D154">
    <cfRule type="expression" dxfId="69" priority="70">
      <formula>#REF!=3</formula>
    </cfRule>
  </conditionalFormatting>
  <conditionalFormatting sqref="E181:I181 E94:I100 E104:I111 E115:I119 E125:I137 E183:I192 E158:I179 E195:I196 E200:I200 E143:I154">
    <cfRule type="expression" dxfId="68" priority="69">
      <formula>#REF!=3</formula>
    </cfRule>
  </conditionalFormatting>
  <conditionalFormatting sqref="N181 N94:N100 N104:N111 N115:N119 N125:N137 N183:N192 N158:N179 N195:N196 N200 N143:N154">
    <cfRule type="expression" dxfId="67" priority="68">
      <formula>#REF!=3</formula>
    </cfRule>
  </conditionalFormatting>
  <conditionalFormatting sqref="O181:S181 O94:S100 O104:S111 O115:S119 O125:S137 O183:S192 O158:S179 O195:S196 O200:S200 O143:S154">
    <cfRule type="expression" dxfId="66" priority="67">
      <formula>#REF!=3</formula>
    </cfRule>
  </conditionalFormatting>
  <conditionalFormatting sqref="T181:Z181 T94:Z100 T104:Z111 T115:Z119 T125:Z137 T158:Z179 T183:Z192 T195:Z196 T200:Z200 T143:Z154">
    <cfRule type="expression" dxfId="65" priority="66">
      <formula>#REF!=3</formula>
    </cfRule>
  </conditionalFormatting>
  <conditionalFormatting sqref="AA181:AB181 AA94:AA100 AA104:AA111 AA115:AA119 AA125:AA137 AA183:AA192 AA196:AB196 AA200 AA158:AA179 AA195 AA143:AA154">
    <cfRule type="expression" dxfId="64" priority="65">
      <formula>#REF!=3</formula>
    </cfRule>
  </conditionalFormatting>
  <conditionalFormatting sqref="N12 T12 D12:D13">
    <cfRule type="expression" dxfId="63" priority="64">
      <formula>#REF!=3</formula>
    </cfRule>
  </conditionalFormatting>
  <conditionalFormatting sqref="O12:S12 E12:I12 U12:Z12">
    <cfRule type="expression" dxfId="62" priority="63">
      <formula>#REF!=3</formula>
    </cfRule>
  </conditionalFormatting>
  <conditionalFormatting sqref="D20:I22">
    <cfRule type="expression" dxfId="61" priority="62">
      <formula>#REF!=3</formula>
    </cfRule>
  </conditionalFormatting>
  <conditionalFormatting sqref="D26:I28">
    <cfRule type="expression" dxfId="60" priority="61">
      <formula>#REF!=3</formula>
    </cfRule>
  </conditionalFormatting>
  <conditionalFormatting sqref="D32:I34">
    <cfRule type="expression" dxfId="59" priority="60">
      <formula>#REF!=3</formula>
    </cfRule>
  </conditionalFormatting>
  <conditionalFormatting sqref="D38:I44">
    <cfRule type="expression" dxfId="58" priority="59">
      <formula>#REF!=3</formula>
    </cfRule>
  </conditionalFormatting>
  <conditionalFormatting sqref="D48:I53">
    <cfRule type="expression" dxfId="57" priority="58">
      <formula>#REF!=3</formula>
    </cfRule>
  </conditionalFormatting>
  <conditionalFormatting sqref="D55">
    <cfRule type="expression" dxfId="56" priority="57">
      <formula>#REF!=3</formula>
    </cfRule>
  </conditionalFormatting>
  <conditionalFormatting sqref="D59:I67">
    <cfRule type="expression" dxfId="55" priority="56">
      <formula>#REF!=3</formula>
    </cfRule>
  </conditionalFormatting>
  <conditionalFormatting sqref="D69:I69">
    <cfRule type="expression" dxfId="54" priority="55">
      <formula>#REF!=3</formula>
    </cfRule>
  </conditionalFormatting>
  <conditionalFormatting sqref="D73:I74">
    <cfRule type="expression" dxfId="53" priority="54">
      <formula>#REF!=3</formula>
    </cfRule>
  </conditionalFormatting>
  <conditionalFormatting sqref="D78:I81">
    <cfRule type="expression" dxfId="52" priority="53">
      <formula>#REF!=3</formula>
    </cfRule>
  </conditionalFormatting>
  <conditionalFormatting sqref="D85:I85">
    <cfRule type="expression" dxfId="51" priority="52">
      <formula>#REF!=3</formula>
    </cfRule>
  </conditionalFormatting>
  <conditionalFormatting sqref="D86:I86">
    <cfRule type="expression" dxfId="50" priority="51">
      <formula>#REF!=3</formula>
    </cfRule>
  </conditionalFormatting>
  <conditionalFormatting sqref="D87:I87">
    <cfRule type="expression" dxfId="49" priority="50">
      <formula>#REF!=3</formula>
    </cfRule>
  </conditionalFormatting>
  <conditionalFormatting sqref="E55:I55">
    <cfRule type="expression" dxfId="48" priority="49">
      <formula>#REF!=3</formula>
    </cfRule>
  </conditionalFormatting>
  <conditionalFormatting sqref="J20:J22">
    <cfRule type="expression" dxfId="47" priority="48">
      <formula>#REF!=3</formula>
    </cfRule>
  </conditionalFormatting>
  <conditionalFormatting sqref="J26:J28">
    <cfRule type="expression" dxfId="46" priority="47">
      <formula>#REF!=3</formula>
    </cfRule>
  </conditionalFormatting>
  <conditionalFormatting sqref="J32:J34">
    <cfRule type="expression" dxfId="45" priority="46">
      <formula>#REF!=3</formula>
    </cfRule>
  </conditionalFormatting>
  <conditionalFormatting sqref="J38:J44">
    <cfRule type="expression" dxfId="44" priority="45">
      <formula>#REF!=3</formula>
    </cfRule>
  </conditionalFormatting>
  <conditionalFormatting sqref="J48:J53">
    <cfRule type="expression" dxfId="43" priority="44">
      <formula>#REF!=3</formula>
    </cfRule>
  </conditionalFormatting>
  <conditionalFormatting sqref="J55">
    <cfRule type="expression" dxfId="42" priority="43">
      <formula>#REF!=3</formula>
    </cfRule>
  </conditionalFormatting>
  <conditionalFormatting sqref="J59:J67">
    <cfRule type="expression" dxfId="41" priority="42">
      <formula>#REF!=3</formula>
    </cfRule>
  </conditionalFormatting>
  <conditionalFormatting sqref="J69">
    <cfRule type="expression" dxfId="40" priority="41">
      <formula>#REF!=3</formula>
    </cfRule>
  </conditionalFormatting>
  <conditionalFormatting sqref="J73:J74">
    <cfRule type="expression" dxfId="39" priority="40">
      <formula>#REF!=3</formula>
    </cfRule>
  </conditionalFormatting>
  <conditionalFormatting sqref="J78:J81">
    <cfRule type="expression" dxfId="38" priority="39">
      <formula>#REF!=3</formula>
    </cfRule>
  </conditionalFormatting>
  <conditionalFormatting sqref="J85:J87">
    <cfRule type="expression" dxfId="37" priority="38">
      <formula>#REF!=3</formula>
    </cfRule>
  </conditionalFormatting>
  <conditionalFormatting sqref="N20:N22">
    <cfRule type="expression" dxfId="36" priority="37">
      <formula>#REF!=3</formula>
    </cfRule>
  </conditionalFormatting>
  <conditionalFormatting sqref="N26:N28">
    <cfRule type="expression" dxfId="35" priority="36">
      <formula>#REF!=3</formula>
    </cfRule>
  </conditionalFormatting>
  <conditionalFormatting sqref="N32:N34">
    <cfRule type="expression" dxfId="34" priority="35">
      <formula>#REF!=3</formula>
    </cfRule>
  </conditionalFormatting>
  <conditionalFormatting sqref="N38:N44">
    <cfRule type="expression" dxfId="33" priority="34">
      <formula>#REF!=3</formula>
    </cfRule>
  </conditionalFormatting>
  <conditionalFormatting sqref="N48:N53">
    <cfRule type="expression" dxfId="32" priority="33">
      <formula>#REF!=3</formula>
    </cfRule>
  </conditionalFormatting>
  <conditionalFormatting sqref="N59:N67">
    <cfRule type="expression" dxfId="31" priority="32">
      <formula>#REF!=3</formula>
    </cfRule>
  </conditionalFormatting>
  <conditionalFormatting sqref="N69">
    <cfRule type="expression" dxfId="30" priority="31">
      <formula>#REF!=3</formula>
    </cfRule>
  </conditionalFormatting>
  <conditionalFormatting sqref="N73:N74">
    <cfRule type="expression" dxfId="29" priority="30">
      <formula>#REF!=3</formula>
    </cfRule>
  </conditionalFormatting>
  <conditionalFormatting sqref="N78:N81">
    <cfRule type="expression" dxfId="28" priority="29">
      <formula>#REF!=3</formula>
    </cfRule>
  </conditionalFormatting>
  <conditionalFormatting sqref="N85">
    <cfRule type="expression" dxfId="27" priority="28">
      <formula>#REF!=3</formula>
    </cfRule>
  </conditionalFormatting>
  <conditionalFormatting sqref="N86">
    <cfRule type="expression" dxfId="26" priority="27">
      <formula>#REF!=3</formula>
    </cfRule>
  </conditionalFormatting>
  <conditionalFormatting sqref="N87">
    <cfRule type="expression" dxfId="25" priority="26">
      <formula>#REF!=3</formula>
    </cfRule>
  </conditionalFormatting>
  <conditionalFormatting sqref="N55">
    <cfRule type="expression" dxfId="24" priority="25">
      <formula>#REF!=3</formula>
    </cfRule>
  </conditionalFormatting>
  <conditionalFormatting sqref="O20:Z22">
    <cfRule type="expression" dxfId="23" priority="24">
      <formula>#REF!=3</formula>
    </cfRule>
  </conditionalFormatting>
  <conditionalFormatting sqref="O26:Z28">
    <cfRule type="expression" dxfId="22" priority="23">
      <formula>#REF!=3</formula>
    </cfRule>
  </conditionalFormatting>
  <conditionalFormatting sqref="O32:Z34">
    <cfRule type="expression" dxfId="21" priority="22">
      <formula>#REF!=3</formula>
    </cfRule>
  </conditionalFormatting>
  <conditionalFormatting sqref="O38:Z44">
    <cfRule type="expression" dxfId="20" priority="21">
      <formula>#REF!=3</formula>
    </cfRule>
  </conditionalFormatting>
  <conditionalFormatting sqref="O48:Z53">
    <cfRule type="expression" dxfId="19" priority="20">
      <formula>#REF!=3</formula>
    </cfRule>
  </conditionalFormatting>
  <conditionalFormatting sqref="O59:Z67">
    <cfRule type="expression" dxfId="18" priority="19">
      <formula>#REF!=3</formula>
    </cfRule>
  </conditionalFormatting>
  <conditionalFormatting sqref="O69:Z69">
    <cfRule type="expression" dxfId="17" priority="18">
      <formula>#REF!=3</formula>
    </cfRule>
  </conditionalFormatting>
  <conditionalFormatting sqref="O73:Z74">
    <cfRule type="expression" dxfId="16" priority="17">
      <formula>#REF!=3</formula>
    </cfRule>
  </conditionalFormatting>
  <conditionalFormatting sqref="O78:Z81">
    <cfRule type="expression" dxfId="15" priority="16">
      <formula>#REF!=3</formula>
    </cfRule>
  </conditionalFormatting>
  <conditionalFormatting sqref="O85:Z85">
    <cfRule type="expression" dxfId="14" priority="15">
      <formula>#REF!=3</formula>
    </cfRule>
  </conditionalFormatting>
  <conditionalFormatting sqref="O86:Z86">
    <cfRule type="expression" dxfId="13" priority="14">
      <formula>#REF!=3</formula>
    </cfRule>
  </conditionalFormatting>
  <conditionalFormatting sqref="O87:Z87">
    <cfRule type="expression" dxfId="12" priority="13">
      <formula>#REF!=3</formula>
    </cfRule>
  </conditionalFormatting>
  <conditionalFormatting sqref="O55:Z55">
    <cfRule type="expression" dxfId="11" priority="12">
      <formula>#REF!=3</formula>
    </cfRule>
  </conditionalFormatting>
  <conditionalFormatting sqref="AA20:AA22">
    <cfRule type="expression" dxfId="10" priority="11">
      <formula>#REF!=3</formula>
    </cfRule>
  </conditionalFormatting>
  <conditionalFormatting sqref="AA26:AA28">
    <cfRule type="expression" dxfId="9" priority="10">
      <formula>#REF!=3</formula>
    </cfRule>
  </conditionalFormatting>
  <conditionalFormatting sqref="AA32:AA34">
    <cfRule type="expression" dxfId="8" priority="9">
      <formula>#REF!=3</formula>
    </cfRule>
  </conditionalFormatting>
  <conditionalFormatting sqref="AA38:AA44">
    <cfRule type="expression" dxfId="7" priority="8">
      <formula>#REF!=3</formula>
    </cfRule>
  </conditionalFormatting>
  <conditionalFormatting sqref="AA48:AA53">
    <cfRule type="expression" dxfId="6" priority="7">
      <formula>#REF!=3</formula>
    </cfRule>
  </conditionalFormatting>
  <conditionalFormatting sqref="AA55">
    <cfRule type="expression" dxfId="5" priority="6">
      <formula>#REF!=3</formula>
    </cfRule>
  </conditionalFormatting>
  <conditionalFormatting sqref="AA59:AA67">
    <cfRule type="expression" dxfId="4" priority="5">
      <formula>#REF!=3</formula>
    </cfRule>
  </conditionalFormatting>
  <conditionalFormatting sqref="AA69">
    <cfRule type="expression" dxfId="3" priority="4">
      <formula>#REF!=3</formula>
    </cfRule>
  </conditionalFormatting>
  <conditionalFormatting sqref="AA73:AA74">
    <cfRule type="expression" dxfId="2" priority="3">
      <formula>#REF!=3</formula>
    </cfRule>
  </conditionalFormatting>
  <conditionalFormatting sqref="AA78:AA81">
    <cfRule type="expression" dxfId="1" priority="2">
      <formula>#REF!=3</formula>
    </cfRule>
  </conditionalFormatting>
  <conditionalFormatting sqref="AA85:AA87">
    <cfRule type="expression" dxfId="0" priority="1">
      <formula>#REF!=3</formula>
    </cfRule>
  </conditionalFormatting>
  <printOptions horizontalCentered="1"/>
  <pageMargins left="0.25" right="0.25" top="0.25" bottom="0.25" header="0.5" footer="0.5"/>
  <pageSetup scale="45" orientation="landscape" r:id="rId1"/>
  <headerFooter alignWithMargins="0"/>
  <rowBreaks count="2" manualBreakCount="2">
    <brk id="91" min="1" max="26" man="1"/>
    <brk id="156" min="1" max="26" man="1"/>
  </rowBreaks>
  <colBreaks count="1" manualBreakCount="1">
    <brk id="13" min="3" max="173" man="1"/>
  </colBreaks>
  <ignoredErrors>
    <ignoredError sqref="D68:J68 O68:Z68" formulaRange="1"/>
    <ignoredError sqref="AA68" formula="1" formulaRange="1"/>
    <ignoredError sqref="AA5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0.34998626667073579"/>
  </sheetPr>
  <dimension ref="A1:E42"/>
  <sheetViews>
    <sheetView showRowColHeaders="0" view="pageBreakPreview" zoomScaleNormal="100" zoomScaleSheetLayoutView="100" workbookViewId="0">
      <pane xSplit="1" ySplit="9" topLeftCell="B28" activePane="bottomRight" state="frozen"/>
      <selection pane="topRight"/>
      <selection pane="bottomLeft"/>
      <selection pane="bottomRight" activeCell="G33" sqref="G33"/>
    </sheetView>
  </sheetViews>
  <sheetFormatPr defaultColWidth="9.140625" defaultRowHeight="18.75"/>
  <cols>
    <col min="1" max="1" width="20.7109375" style="258" customWidth="1"/>
    <col min="2" max="2" width="2" style="274" bestFit="1" customWidth="1"/>
    <col min="3" max="3" width="2" style="262" customWidth="1"/>
    <col min="4" max="4" width="108.7109375" style="262" customWidth="1"/>
    <col min="5" max="5" width="2.7109375" style="262" customWidth="1"/>
    <col min="6" max="16384" width="9.140625" style="262"/>
  </cols>
  <sheetData>
    <row r="1" spans="2:5" ht="9.75" customHeight="1">
      <c r="B1" s="259"/>
      <c r="C1" s="260"/>
      <c r="D1" s="261"/>
      <c r="E1" s="258"/>
    </row>
    <row r="2" spans="2:5" ht="7.5" customHeight="1">
      <c r="B2" s="259"/>
      <c r="C2" s="260"/>
      <c r="D2" s="260"/>
      <c r="E2" s="258"/>
    </row>
    <row r="3" spans="2:5" ht="61.5" customHeight="1">
      <c r="B3" s="360" t="s">
        <v>214</v>
      </c>
      <c r="C3" s="360"/>
      <c r="D3" s="360"/>
      <c r="E3" s="258"/>
    </row>
    <row r="4" spans="2:5" ht="15" customHeight="1">
      <c r="B4" s="259"/>
      <c r="C4" s="260"/>
      <c r="D4" s="260"/>
      <c r="E4" s="258"/>
    </row>
    <row r="5" spans="2:5">
      <c r="B5" s="263" t="s">
        <v>26</v>
      </c>
      <c r="C5" s="264"/>
      <c r="D5" s="264"/>
      <c r="E5" s="258"/>
    </row>
    <row r="6" spans="2:5" ht="15.75" customHeight="1">
      <c r="B6" s="265"/>
      <c r="C6" s="266" t="s">
        <v>206</v>
      </c>
      <c r="D6" s="267" t="s">
        <v>215</v>
      </c>
      <c r="E6" s="258"/>
    </row>
    <row r="7" spans="2:5" ht="15.75" customHeight="1">
      <c r="B7" s="268"/>
      <c r="C7" s="266" t="s">
        <v>206</v>
      </c>
      <c r="D7" s="267" t="s">
        <v>216</v>
      </c>
      <c r="E7" s="258"/>
    </row>
    <row r="8" spans="2:5">
      <c r="B8" s="268"/>
      <c r="C8" s="266" t="s">
        <v>206</v>
      </c>
      <c r="D8" s="267" t="s">
        <v>217</v>
      </c>
      <c r="E8" s="258"/>
    </row>
    <row r="9" spans="2:5" ht="30">
      <c r="B9" s="268"/>
      <c r="C9" s="266" t="s">
        <v>206</v>
      </c>
      <c r="D9" s="267" t="s">
        <v>230</v>
      </c>
      <c r="E9" s="258"/>
    </row>
    <row r="10" spans="2:5" ht="7.5" customHeight="1">
      <c r="B10" s="268"/>
      <c r="C10" s="269"/>
      <c r="D10" s="266"/>
      <c r="E10" s="258"/>
    </row>
    <row r="11" spans="2:5" ht="18.75" customHeight="1">
      <c r="B11" s="359" t="s">
        <v>207</v>
      </c>
      <c r="C11" s="359"/>
      <c r="D11" s="359"/>
      <c r="E11" s="258"/>
    </row>
    <row r="12" spans="2:5" ht="15.75" customHeight="1">
      <c r="B12" s="270"/>
      <c r="C12" s="266" t="s">
        <v>206</v>
      </c>
      <c r="D12" s="267" t="s">
        <v>222</v>
      </c>
      <c r="E12" s="258"/>
    </row>
    <row r="13" spans="2:5" ht="15.75" customHeight="1">
      <c r="B13" s="270"/>
      <c r="C13" s="266" t="s">
        <v>206</v>
      </c>
      <c r="D13" s="267" t="s">
        <v>221</v>
      </c>
      <c r="E13" s="258"/>
    </row>
    <row r="14" spans="2:5" ht="15.75" customHeight="1">
      <c r="B14" s="270"/>
      <c r="C14" s="266" t="s">
        <v>206</v>
      </c>
      <c r="D14" s="267" t="s">
        <v>231</v>
      </c>
      <c r="E14" s="258"/>
    </row>
    <row r="15" spans="2:5" ht="7.5" customHeight="1">
      <c r="B15" s="270"/>
      <c r="C15" s="267"/>
      <c r="D15" s="267"/>
      <c r="E15" s="258"/>
    </row>
    <row r="16" spans="2:5" ht="18.75" customHeight="1">
      <c r="B16" s="359" t="s">
        <v>208</v>
      </c>
      <c r="C16" s="359"/>
      <c r="D16" s="359"/>
      <c r="E16" s="258"/>
    </row>
    <row r="17" spans="2:5" ht="31.5" customHeight="1">
      <c r="B17" s="270"/>
      <c r="C17" s="266" t="s">
        <v>206</v>
      </c>
      <c r="D17" s="267" t="s">
        <v>229</v>
      </c>
      <c r="E17" s="258"/>
    </row>
    <row r="18" spans="2:5" ht="45">
      <c r="B18" s="270"/>
      <c r="C18" s="266" t="s">
        <v>206</v>
      </c>
      <c r="D18" s="267" t="s">
        <v>233</v>
      </c>
      <c r="E18" s="258"/>
    </row>
    <row r="19" spans="2:5" ht="30">
      <c r="B19" s="270"/>
      <c r="C19" s="266" t="s">
        <v>206</v>
      </c>
      <c r="D19" s="267" t="s">
        <v>232</v>
      </c>
      <c r="E19" s="258"/>
    </row>
    <row r="20" spans="2:5" ht="7.5" customHeight="1">
      <c r="B20" s="270"/>
      <c r="C20" s="267"/>
      <c r="D20" s="267"/>
      <c r="E20" s="258"/>
    </row>
    <row r="21" spans="2:5" ht="18.75" customHeight="1">
      <c r="B21" s="359" t="s">
        <v>209</v>
      </c>
      <c r="C21" s="359"/>
      <c r="D21" s="359"/>
      <c r="E21" s="258"/>
    </row>
    <row r="22" spans="2:5" ht="15.75" customHeight="1">
      <c r="B22" s="270"/>
      <c r="C22" s="266" t="s">
        <v>206</v>
      </c>
      <c r="D22" s="267" t="s">
        <v>225</v>
      </c>
      <c r="E22" s="258"/>
    </row>
    <row r="23" spans="2:5" ht="60">
      <c r="B23" s="270"/>
      <c r="C23" s="266" t="s">
        <v>206</v>
      </c>
      <c r="D23" s="267" t="s">
        <v>235</v>
      </c>
      <c r="E23" s="258"/>
    </row>
    <row r="24" spans="2:5" ht="15.75" customHeight="1">
      <c r="B24" s="270"/>
      <c r="C24" s="266" t="s">
        <v>206</v>
      </c>
      <c r="D24" s="267" t="s">
        <v>226</v>
      </c>
      <c r="E24" s="258"/>
    </row>
    <row r="25" spans="2:5" ht="15.75" customHeight="1">
      <c r="B25" s="270"/>
      <c r="C25" s="266" t="s">
        <v>206</v>
      </c>
      <c r="D25" s="267" t="s">
        <v>234</v>
      </c>
      <c r="E25" s="258"/>
    </row>
    <row r="26" spans="2:5" ht="30">
      <c r="B26" s="270"/>
      <c r="C26" s="266" t="s">
        <v>206</v>
      </c>
      <c r="D26" s="267" t="s">
        <v>236</v>
      </c>
      <c r="E26" s="258"/>
    </row>
    <row r="27" spans="2:5" ht="7.5" customHeight="1">
      <c r="B27" s="271"/>
      <c r="C27" s="272"/>
      <c r="D27" s="267"/>
      <c r="E27" s="258"/>
    </row>
    <row r="28" spans="2:5" ht="18.75" customHeight="1">
      <c r="B28" s="359" t="s">
        <v>210</v>
      </c>
      <c r="C28" s="359"/>
      <c r="D28" s="359"/>
      <c r="E28" s="258"/>
    </row>
    <row r="29" spans="2:5" ht="30">
      <c r="B29" s="270"/>
      <c r="C29" s="266" t="s">
        <v>206</v>
      </c>
      <c r="D29" s="267" t="s">
        <v>240</v>
      </c>
      <c r="E29" s="258"/>
    </row>
    <row r="30" spans="2:5" ht="135">
      <c r="B30" s="270"/>
      <c r="C30" s="266" t="s">
        <v>206</v>
      </c>
      <c r="D30" s="267" t="s">
        <v>244</v>
      </c>
    </row>
    <row r="31" spans="2:5" ht="45">
      <c r="B31" s="270"/>
      <c r="C31" s="266" t="s">
        <v>206</v>
      </c>
      <c r="D31" s="267" t="s">
        <v>227</v>
      </c>
    </row>
    <row r="32" spans="2:5" ht="7.5" customHeight="1">
      <c r="B32" s="271"/>
      <c r="C32" s="272"/>
      <c r="D32" s="267"/>
    </row>
    <row r="33" spans="2:4" ht="18.75" customHeight="1">
      <c r="B33" s="359" t="s">
        <v>211</v>
      </c>
      <c r="C33" s="359"/>
      <c r="D33" s="359"/>
    </row>
    <row r="34" spans="2:4" ht="33" customHeight="1">
      <c r="B34" s="270"/>
      <c r="C34" s="266" t="s">
        <v>206</v>
      </c>
      <c r="D34" s="267" t="s">
        <v>237</v>
      </c>
    </row>
    <row r="35" spans="2:4" ht="7.5" customHeight="1">
      <c r="B35" s="271"/>
      <c r="C35" s="272"/>
      <c r="D35" s="267"/>
    </row>
    <row r="36" spans="2:4" ht="18.75" customHeight="1">
      <c r="B36" s="359" t="s">
        <v>212</v>
      </c>
      <c r="C36" s="359"/>
      <c r="D36" s="359"/>
    </row>
    <row r="37" spans="2:4" ht="19.5" customHeight="1">
      <c r="B37" s="270"/>
      <c r="C37" s="266" t="s">
        <v>206</v>
      </c>
      <c r="D37" s="267" t="s">
        <v>228</v>
      </c>
    </row>
    <row r="38" spans="2:4" ht="7.5" customHeight="1">
      <c r="B38" s="271"/>
      <c r="C38" s="272"/>
      <c r="D38" s="267"/>
    </row>
    <row r="39" spans="2:4" ht="18.75" customHeight="1">
      <c r="B39" s="359" t="s">
        <v>213</v>
      </c>
      <c r="C39" s="359"/>
      <c r="D39" s="359"/>
    </row>
    <row r="40" spans="2:4" ht="63.75" customHeight="1">
      <c r="B40" s="270"/>
      <c r="C40" s="266" t="s">
        <v>206</v>
      </c>
      <c r="D40" s="267" t="s">
        <v>238</v>
      </c>
    </row>
    <row r="41" spans="2:4" ht="60">
      <c r="B41" s="270"/>
      <c r="C41" s="266" t="s">
        <v>206</v>
      </c>
      <c r="D41" s="267" t="s">
        <v>239</v>
      </c>
    </row>
    <row r="42" spans="2:4" ht="9.9499999999999993" customHeight="1">
      <c r="B42" s="259"/>
      <c r="C42" s="260"/>
      <c r="D42" s="273"/>
    </row>
  </sheetData>
  <sheetProtection algorithmName="SHA-512" hashValue="U38YdCwvCpvhVbWvl7jsTJODLeOM9J4OUo4xwkmtnQDGOi7bBO9vZy38fGXiEAmvTHCbbQ44NdUJf8Ykus1lRg==" saltValue="EQu68PigFxBnwMQN7LelLQ==" spinCount="100000" sheet="1" objects="1" scenarios="1"/>
  <mergeCells count="8">
    <mergeCell ref="B33:D33"/>
    <mergeCell ref="B36:D36"/>
    <mergeCell ref="B39:D39"/>
    <mergeCell ref="B3:D3"/>
    <mergeCell ref="B11:D11"/>
    <mergeCell ref="B16:D16"/>
    <mergeCell ref="B21:D21"/>
    <mergeCell ref="B28:D28"/>
  </mergeCells>
  <hyperlinks>
    <hyperlink ref="B11" location="'School Info'!A1" display="School Info Tab"/>
    <hyperlink ref="B16" location="Enrollment!A1" display="Enrollment Tab"/>
    <hyperlink ref="B28" location="Assumption!A1" display="Assumptions Tab"/>
    <hyperlink ref="B33" location="'5 YR Budget'!A1" display="5 YR Budget Tab"/>
    <hyperlink ref="B36" location="'Start-Up Budget'!A1" display="Start-Up Budget Tab"/>
    <hyperlink ref="B39" location="'Cash Flow'!A1" display="Cash Flow Tab"/>
    <hyperlink ref="B21" location="Personnel!A1" display="Personnel Tab"/>
  </hyperlinks>
  <printOptions horizontalCentered="1"/>
  <pageMargins left="0.55000000000000004" right="0.25" top="0.5" bottom="0.25" header="0.5" footer="0.5"/>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1"/>
  </sheetPr>
  <dimension ref="A1"/>
  <sheetViews>
    <sheetView view="pageBreakPreview" zoomScaleNormal="100" zoomScaleSheetLayoutView="100" workbookViewId="0"/>
  </sheetViews>
  <sheetFormatPr defaultRowHeight="1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2:E13"/>
  <sheetViews>
    <sheetView showRowColHeaders="0" tabSelected="1" view="pageBreakPreview" zoomScaleNormal="100" zoomScaleSheetLayoutView="100" workbookViewId="0">
      <selection activeCell="J4" sqref="J4"/>
    </sheetView>
  </sheetViews>
  <sheetFormatPr defaultColWidth="9.140625" defaultRowHeight="12.75"/>
  <cols>
    <col min="1" max="1" width="9.140625" style="238"/>
    <col min="2" max="2" width="1.7109375" style="239" customWidth="1"/>
    <col min="3" max="3" width="18.7109375" style="238" customWidth="1"/>
    <col min="4" max="4" width="49.140625" style="238" customWidth="1"/>
    <col min="5" max="5" width="1.7109375" style="238" customWidth="1"/>
    <col min="6" max="16384" width="9.140625" style="238"/>
  </cols>
  <sheetData>
    <row r="2" spans="3:5" ht="13.5" thickBot="1">
      <c r="C2" s="240"/>
      <c r="D2" s="240"/>
      <c r="E2" s="239"/>
    </row>
    <row r="3" spans="3:5" ht="28.5">
      <c r="C3" s="361" t="s">
        <v>150</v>
      </c>
      <c r="D3" s="362"/>
      <c r="E3" s="239"/>
    </row>
    <row r="4" spans="3:5" ht="15.75">
      <c r="C4" s="363" t="s">
        <v>27</v>
      </c>
      <c r="D4" s="364"/>
      <c r="E4" s="239"/>
    </row>
    <row r="5" spans="3:5" ht="15" customHeight="1">
      <c r="C5" s="241"/>
      <c r="D5" s="249"/>
      <c r="E5" s="239"/>
    </row>
    <row r="6" spans="3:5">
      <c r="C6" s="251" t="s">
        <v>218</v>
      </c>
      <c r="D6" s="248" t="s">
        <v>195</v>
      </c>
      <c r="E6" s="239"/>
    </row>
    <row r="7" spans="3:5">
      <c r="C7" s="251" t="s">
        <v>28</v>
      </c>
      <c r="D7" s="248" t="s">
        <v>196</v>
      </c>
      <c r="E7" s="239"/>
    </row>
    <row r="8" spans="3:5">
      <c r="C8" s="251" t="s">
        <v>29</v>
      </c>
      <c r="D8" s="248" t="s">
        <v>197</v>
      </c>
      <c r="E8" s="239"/>
    </row>
    <row r="9" spans="3:5" ht="12.75" customHeight="1">
      <c r="C9" s="242"/>
      <c r="D9" s="250"/>
      <c r="E9" s="239"/>
    </row>
    <row r="10" spans="3:5">
      <c r="C10" s="251" t="s">
        <v>219</v>
      </c>
      <c r="D10" s="248" t="s">
        <v>277</v>
      </c>
      <c r="E10" s="239"/>
    </row>
    <row r="11" spans="3:5" ht="13.5" thickBot="1">
      <c r="C11" s="252" t="s">
        <v>220</v>
      </c>
      <c r="D11" s="243">
        <v>180</v>
      </c>
      <c r="E11" s="239"/>
    </row>
    <row r="12" spans="3:5">
      <c r="C12" s="239"/>
      <c r="D12" s="239"/>
      <c r="E12" s="239"/>
    </row>
    <row r="13" spans="3:5">
      <c r="C13" s="239"/>
      <c r="D13" s="239"/>
      <c r="E13" s="239"/>
    </row>
  </sheetData>
  <sheetProtection password="CE28" sheet="1" objects="1" scenarios="1" formatColumns="0" formatRows="0"/>
  <mergeCells count="2">
    <mergeCell ref="C3:D3"/>
    <mergeCell ref="C4:D4"/>
  </mergeCells>
  <dataValidations count="1">
    <dataValidation type="list" allowBlank="1" showInputMessage="1" showErrorMessage="1" sqref="D10">
      <formula1>"2015-16,2016-17,2017-18,2018-19,2019-20,2020-21,2021-22"</formula1>
    </dataValidation>
  </dataValidations>
  <printOptions horizontalCentered="1"/>
  <pageMargins left="1" right="1" top="2"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2" tint="-0.499984740745262"/>
  </sheetPr>
  <dimension ref="C2:BO60"/>
  <sheetViews>
    <sheetView view="pageBreakPreview" zoomScale="80" zoomScaleNormal="75" zoomScaleSheetLayoutView="80" workbookViewId="0">
      <pane xSplit="3" ySplit="7" topLeftCell="D8" activePane="bottomRight" state="frozen"/>
      <selection pane="topRight" activeCell="D1" sqref="D1"/>
      <selection pane="bottomLeft" activeCell="A8" sqref="A8"/>
      <selection pane="bottomRight" activeCell="C6" sqref="C6"/>
    </sheetView>
  </sheetViews>
  <sheetFormatPr defaultColWidth="9.140625" defaultRowHeight="15" outlineLevelCol="1"/>
  <cols>
    <col min="1" max="2" width="2.7109375" style="15" customWidth="1"/>
    <col min="3" max="3" width="47" style="15" customWidth="1"/>
    <col min="4" max="13" width="11.5703125" style="15" customWidth="1"/>
    <col min="14" max="14" width="2.7109375" style="15" customWidth="1"/>
    <col min="15" max="26" width="13.7109375" style="15" customWidth="1"/>
    <col min="27" max="27" width="13.7109375" style="15" hidden="1" customWidth="1" outlineLevel="1"/>
    <col min="28" max="28" width="19.5703125" style="15" hidden="1" customWidth="1" outlineLevel="1"/>
    <col min="29" max="29" width="5.140625" style="17" hidden="1" customWidth="1" outlineLevel="1"/>
    <col min="30" max="40" width="12.7109375" style="17" hidden="1" customWidth="1" outlineLevel="1"/>
    <col min="41" max="41" width="11.28515625" style="17" hidden="1" customWidth="1" outlineLevel="1"/>
    <col min="42" max="42" width="11.28515625" style="17" customWidth="1" collapsed="1"/>
    <col min="43" max="54" width="9.140625" style="17" customWidth="1"/>
    <col min="55" max="60" width="9.140625" style="15" customWidth="1"/>
    <col min="61" max="16384" width="9.140625" style="15"/>
  </cols>
  <sheetData>
    <row r="2" spans="3:67" ht="15" customHeight="1">
      <c r="C2" s="32"/>
      <c r="E2" s="16"/>
    </row>
    <row r="3" spans="3:67" ht="26.25">
      <c r="C3" s="365" t="str">
        <f>X_SchoolName</f>
        <v>XYZ Charter School</v>
      </c>
      <c r="D3" s="366"/>
      <c r="E3" s="366"/>
      <c r="F3" s="366"/>
      <c r="G3" s="366"/>
      <c r="H3" s="366"/>
      <c r="I3" s="366"/>
      <c r="J3" s="366"/>
      <c r="K3" s="366"/>
      <c r="L3" s="366"/>
      <c r="M3" s="366"/>
      <c r="AC3" s="15"/>
      <c r="AD3" s="15"/>
      <c r="AE3" s="15"/>
      <c r="AF3" s="15"/>
      <c r="AG3" s="15"/>
      <c r="AH3" s="15"/>
      <c r="AI3" s="15"/>
      <c r="AJ3" s="15"/>
      <c r="AK3" s="15"/>
      <c r="AL3" s="15"/>
      <c r="AM3" s="15"/>
      <c r="AN3" s="15"/>
      <c r="AO3" s="15"/>
    </row>
    <row r="4" spans="3:67" ht="20.100000000000001" customHeight="1">
      <c r="C4" s="18"/>
      <c r="D4" s="18"/>
      <c r="E4" s="18"/>
      <c r="F4" s="18"/>
      <c r="G4" s="18"/>
      <c r="H4" s="18"/>
      <c r="AC4" s="15"/>
      <c r="AD4" s="15"/>
      <c r="AE4" s="15"/>
      <c r="AF4" s="15"/>
      <c r="AG4" s="15"/>
      <c r="AH4" s="15"/>
      <c r="AI4" s="15"/>
      <c r="AJ4" s="15"/>
      <c r="AK4" s="15"/>
      <c r="AL4" s="15"/>
      <c r="AM4" s="15"/>
      <c r="AN4" s="15"/>
      <c r="AO4" s="15"/>
    </row>
    <row r="5" spans="3:67" ht="26.25">
      <c r="C5" s="365" t="s">
        <v>200</v>
      </c>
      <c r="D5" s="366"/>
      <c r="E5" s="366"/>
      <c r="F5" s="366"/>
      <c r="G5" s="366"/>
      <c r="H5" s="366"/>
      <c r="I5" s="366"/>
      <c r="J5" s="366"/>
      <c r="K5" s="366"/>
      <c r="L5" s="366"/>
      <c r="M5" s="366"/>
      <c r="N5" s="19"/>
      <c r="O5" s="19"/>
      <c r="P5" s="19"/>
      <c r="Q5" s="19"/>
      <c r="R5" s="19"/>
      <c r="S5" s="19"/>
      <c r="T5" s="19"/>
      <c r="U5" s="19"/>
      <c r="V5" s="19"/>
      <c r="W5" s="19"/>
      <c r="X5" s="19"/>
      <c r="Y5" s="19"/>
      <c r="Z5" s="19"/>
      <c r="AA5" s="19"/>
      <c r="AC5" s="15"/>
      <c r="AD5" s="15"/>
      <c r="AE5" s="15"/>
      <c r="AF5" s="15"/>
      <c r="AG5" s="15"/>
      <c r="AH5" s="15"/>
      <c r="AI5" s="15"/>
      <c r="AJ5" s="15"/>
      <c r="AK5" s="15"/>
      <c r="AL5" s="15"/>
      <c r="AM5" s="15"/>
      <c r="AN5" s="15"/>
      <c r="AO5" s="15"/>
      <c r="BJ5" s="19"/>
      <c r="BK5" s="19"/>
      <c r="BL5" s="19"/>
      <c r="BM5" s="19"/>
      <c r="BN5" s="19"/>
      <c r="BO5" s="20"/>
    </row>
    <row r="6" spans="3:67" ht="20.100000000000001" customHeight="1">
      <c r="C6" s="21"/>
      <c r="N6" s="19"/>
      <c r="O6" s="19"/>
      <c r="P6" s="19"/>
      <c r="Q6" s="19"/>
      <c r="R6" s="19"/>
      <c r="S6" s="19"/>
      <c r="T6" s="19"/>
      <c r="U6" s="19"/>
      <c r="V6" s="19"/>
      <c r="W6" s="19"/>
      <c r="X6" s="19"/>
      <c r="Y6" s="19"/>
      <c r="Z6" s="19"/>
      <c r="AA6" s="19"/>
      <c r="AB6" s="22"/>
      <c r="AC6" s="22"/>
      <c r="AD6" s="22"/>
      <c r="AE6" s="22"/>
      <c r="AF6" s="22"/>
      <c r="AG6" s="22"/>
      <c r="AH6" s="22"/>
      <c r="AI6" s="22"/>
      <c r="AJ6" s="22"/>
      <c r="AK6" s="22"/>
      <c r="AL6" s="22"/>
      <c r="AM6" s="22"/>
      <c r="AN6" s="22"/>
      <c r="AO6" s="22"/>
      <c r="BJ6" s="19"/>
      <c r="BK6" s="19"/>
      <c r="BL6" s="19"/>
      <c r="BM6" s="19"/>
      <c r="BN6" s="19"/>
      <c r="BO6" s="20"/>
    </row>
    <row r="7" spans="3:67" ht="21.95" customHeight="1">
      <c r="C7" s="255" t="s">
        <v>223</v>
      </c>
      <c r="D7" s="256" t="str">
        <f>X_YearOne</f>
        <v>2019-20</v>
      </c>
      <c r="E7" s="256" t="str">
        <f t="shared" ref="E7:M7" si="0">AE11&amp;"-"&amp;MID(AE12,3,2)</f>
        <v>2020-21</v>
      </c>
      <c r="F7" s="256" t="str">
        <f t="shared" si="0"/>
        <v>2021-22</v>
      </c>
      <c r="G7" s="256" t="str">
        <f t="shared" si="0"/>
        <v>2022-23</v>
      </c>
      <c r="H7" s="256" t="str">
        <f t="shared" si="0"/>
        <v>2023-24</v>
      </c>
      <c r="I7" s="256" t="str">
        <f t="shared" si="0"/>
        <v>2024-25</v>
      </c>
      <c r="J7" s="256" t="str">
        <f t="shared" si="0"/>
        <v>2025-26</v>
      </c>
      <c r="K7" s="256" t="str">
        <f t="shared" si="0"/>
        <v>2026-27</v>
      </c>
      <c r="L7" s="256" t="str">
        <f t="shared" si="0"/>
        <v>2027-28</v>
      </c>
      <c r="M7" s="257" t="str">
        <f t="shared" si="0"/>
        <v>2028-29</v>
      </c>
      <c r="Q7" s="19"/>
      <c r="R7" s="19"/>
      <c r="S7" s="19"/>
      <c r="T7" s="19"/>
      <c r="U7" s="19"/>
      <c r="V7" s="19"/>
      <c r="AB7" s="22"/>
      <c r="AC7" s="22"/>
      <c r="AD7" s="22"/>
      <c r="AE7" s="22"/>
      <c r="AF7" s="22"/>
      <c r="AG7" s="22"/>
      <c r="AH7" s="22"/>
      <c r="AI7" s="22"/>
      <c r="AJ7" s="22"/>
      <c r="AK7" s="22"/>
      <c r="AL7" s="22"/>
      <c r="AM7" s="22"/>
      <c r="AN7" s="22"/>
      <c r="AO7" s="22"/>
    </row>
    <row r="8" spans="3:67">
      <c r="C8" s="23" t="s">
        <v>0</v>
      </c>
      <c r="D8" s="244">
        <v>0</v>
      </c>
      <c r="E8" s="244">
        <v>0</v>
      </c>
      <c r="F8" s="244">
        <v>0</v>
      </c>
      <c r="G8" s="244">
        <v>0</v>
      </c>
      <c r="H8" s="244">
        <v>0</v>
      </c>
      <c r="I8" s="244">
        <v>0</v>
      </c>
      <c r="J8" s="244">
        <v>0</v>
      </c>
      <c r="K8" s="244">
        <v>0</v>
      </c>
      <c r="L8" s="244">
        <v>0</v>
      </c>
      <c r="M8" s="244">
        <v>0</v>
      </c>
      <c r="Q8" s="19"/>
      <c r="R8" s="19"/>
      <c r="S8" s="19"/>
      <c r="T8" s="19"/>
      <c r="U8" s="19"/>
      <c r="V8" s="19"/>
      <c r="AB8" s="22"/>
      <c r="AC8" s="22"/>
      <c r="AD8" s="22"/>
      <c r="AE8" s="22"/>
      <c r="AF8" s="22"/>
      <c r="AG8" s="22"/>
      <c r="AH8" s="22"/>
      <c r="AI8" s="22"/>
      <c r="AJ8" s="22"/>
      <c r="AK8" s="22"/>
      <c r="AL8" s="22"/>
      <c r="AM8" s="22"/>
      <c r="AN8" s="22"/>
      <c r="AO8" s="22"/>
    </row>
    <row r="9" spans="3:67" ht="15.75" thickBot="1">
      <c r="C9" s="24" t="s">
        <v>1</v>
      </c>
      <c r="D9" s="244">
        <v>0</v>
      </c>
      <c r="E9" s="244">
        <v>0</v>
      </c>
      <c r="F9" s="244">
        <v>0</v>
      </c>
      <c r="G9" s="244">
        <v>0</v>
      </c>
      <c r="H9" s="244">
        <v>0</v>
      </c>
      <c r="I9" s="244">
        <v>0</v>
      </c>
      <c r="J9" s="244">
        <v>0</v>
      </c>
      <c r="K9" s="244">
        <v>0</v>
      </c>
      <c r="L9" s="244">
        <v>0</v>
      </c>
      <c r="M9" s="244">
        <v>0</v>
      </c>
      <c r="Q9" s="19"/>
      <c r="R9" s="19"/>
      <c r="S9" s="19"/>
      <c r="T9" s="19"/>
      <c r="U9" s="19"/>
      <c r="V9" s="19"/>
      <c r="AB9" s="22"/>
      <c r="AC9" s="22"/>
      <c r="AD9" s="22"/>
      <c r="AE9" s="22"/>
      <c r="AF9" s="22"/>
      <c r="AG9" s="22"/>
      <c r="AH9" s="22"/>
      <c r="AI9" s="22"/>
      <c r="AJ9" s="22"/>
      <c r="AK9" s="22"/>
      <c r="AL9" s="22"/>
      <c r="AM9" s="22"/>
      <c r="AN9" s="22"/>
      <c r="AO9" s="22"/>
    </row>
    <row r="10" spans="3:67" ht="15.75" thickTop="1">
      <c r="C10" s="24" t="s">
        <v>2</v>
      </c>
      <c r="D10" s="244">
        <v>0</v>
      </c>
      <c r="E10" s="244">
        <v>0</v>
      </c>
      <c r="F10" s="244">
        <v>0</v>
      </c>
      <c r="G10" s="244">
        <v>0</v>
      </c>
      <c r="H10" s="244">
        <v>0</v>
      </c>
      <c r="I10" s="244">
        <v>0</v>
      </c>
      <c r="J10" s="244">
        <v>0</v>
      </c>
      <c r="K10" s="244">
        <v>0</v>
      </c>
      <c r="L10" s="244">
        <v>0</v>
      </c>
      <c r="M10" s="244">
        <v>0</v>
      </c>
      <c r="Q10" s="19"/>
      <c r="R10" s="19"/>
      <c r="S10" s="19"/>
      <c r="T10" s="19"/>
      <c r="U10" s="19"/>
      <c r="V10" s="19"/>
      <c r="AB10" s="33" t="s">
        <v>21</v>
      </c>
      <c r="AC10" s="34">
        <v>1</v>
      </c>
      <c r="AD10" s="35">
        <v>2</v>
      </c>
      <c r="AE10" s="36">
        <f>AD10+1</f>
        <v>3</v>
      </c>
      <c r="AF10" s="36">
        <f t="shared" ref="AF10:AO10" si="1">AE10+1</f>
        <v>4</v>
      </c>
      <c r="AG10" s="36">
        <f t="shared" si="1"/>
        <v>5</v>
      </c>
      <c r="AH10" s="36">
        <f t="shared" si="1"/>
        <v>6</v>
      </c>
      <c r="AI10" s="36">
        <f t="shared" si="1"/>
        <v>7</v>
      </c>
      <c r="AJ10" s="36">
        <f t="shared" si="1"/>
        <v>8</v>
      </c>
      <c r="AK10" s="36">
        <f t="shared" si="1"/>
        <v>9</v>
      </c>
      <c r="AL10" s="36">
        <f t="shared" si="1"/>
        <v>10</v>
      </c>
      <c r="AM10" s="36">
        <f t="shared" si="1"/>
        <v>11</v>
      </c>
      <c r="AN10" s="36">
        <f t="shared" si="1"/>
        <v>12</v>
      </c>
      <c r="AO10" s="37">
        <f t="shared" si="1"/>
        <v>13</v>
      </c>
    </row>
    <row r="11" spans="3:67">
      <c r="C11" s="24" t="s">
        <v>3</v>
      </c>
      <c r="D11" s="244">
        <v>0</v>
      </c>
      <c r="E11" s="244">
        <v>0</v>
      </c>
      <c r="F11" s="244">
        <v>0</v>
      </c>
      <c r="G11" s="244">
        <v>0</v>
      </c>
      <c r="H11" s="244">
        <v>0</v>
      </c>
      <c r="I11" s="244">
        <v>0</v>
      </c>
      <c r="J11" s="244">
        <v>0</v>
      </c>
      <c r="K11" s="244">
        <v>0</v>
      </c>
      <c r="L11" s="244">
        <v>0</v>
      </c>
      <c r="M11" s="244">
        <v>0</v>
      </c>
      <c r="Q11" s="19"/>
      <c r="R11" s="19"/>
      <c r="S11" s="19"/>
      <c r="T11" s="19"/>
      <c r="U11" s="19"/>
      <c r="V11" s="19"/>
      <c r="AB11" s="38" t="s">
        <v>21</v>
      </c>
      <c r="AC11" s="25">
        <f>AC10+1</f>
        <v>2</v>
      </c>
      <c r="AD11" s="26" t="str">
        <f>LEFT(X_YearOne,4)</f>
        <v>2019</v>
      </c>
      <c r="AE11" s="27">
        <f>AD11+1</f>
        <v>2020</v>
      </c>
      <c r="AF11" s="27">
        <f t="shared" ref="AF11:AO11" si="2">AE11+1</f>
        <v>2021</v>
      </c>
      <c r="AG11" s="27">
        <f t="shared" si="2"/>
        <v>2022</v>
      </c>
      <c r="AH11" s="27">
        <f t="shared" si="2"/>
        <v>2023</v>
      </c>
      <c r="AI11" s="27">
        <f t="shared" si="2"/>
        <v>2024</v>
      </c>
      <c r="AJ11" s="27">
        <f t="shared" si="2"/>
        <v>2025</v>
      </c>
      <c r="AK11" s="27">
        <f t="shared" si="2"/>
        <v>2026</v>
      </c>
      <c r="AL11" s="27">
        <f t="shared" si="2"/>
        <v>2027</v>
      </c>
      <c r="AM11" s="27">
        <f t="shared" si="2"/>
        <v>2028</v>
      </c>
      <c r="AN11" s="27">
        <f t="shared" si="2"/>
        <v>2029</v>
      </c>
      <c r="AO11" s="39">
        <f t="shared" si="2"/>
        <v>2030</v>
      </c>
    </row>
    <row r="12" spans="3:67" ht="15.75" thickBot="1">
      <c r="C12" s="24" t="s">
        <v>4</v>
      </c>
      <c r="D12" s="244">
        <v>0</v>
      </c>
      <c r="E12" s="244">
        <v>0</v>
      </c>
      <c r="F12" s="244">
        <v>0</v>
      </c>
      <c r="G12" s="244">
        <v>0</v>
      </c>
      <c r="H12" s="244">
        <v>0</v>
      </c>
      <c r="I12" s="244">
        <v>0</v>
      </c>
      <c r="J12" s="244">
        <v>0</v>
      </c>
      <c r="K12" s="244">
        <v>0</v>
      </c>
      <c r="L12" s="244">
        <v>0</v>
      </c>
      <c r="M12" s="244">
        <v>0</v>
      </c>
      <c r="Q12" s="19"/>
      <c r="R12" s="19"/>
      <c r="S12" s="19"/>
      <c r="T12" s="19"/>
      <c r="U12" s="19"/>
      <c r="V12" s="19"/>
      <c r="AB12" s="40" t="s">
        <v>21</v>
      </c>
      <c r="AC12" s="41">
        <f>AC11+1</f>
        <v>3</v>
      </c>
      <c r="AD12" s="42">
        <f t="shared" ref="AD12:AO12" si="3">AD11+1</f>
        <v>2020</v>
      </c>
      <c r="AE12" s="43">
        <f t="shared" si="3"/>
        <v>2021</v>
      </c>
      <c r="AF12" s="43">
        <f t="shared" si="3"/>
        <v>2022</v>
      </c>
      <c r="AG12" s="43">
        <f t="shared" si="3"/>
        <v>2023</v>
      </c>
      <c r="AH12" s="43">
        <f t="shared" si="3"/>
        <v>2024</v>
      </c>
      <c r="AI12" s="43">
        <f t="shared" si="3"/>
        <v>2025</v>
      </c>
      <c r="AJ12" s="43">
        <f t="shared" si="3"/>
        <v>2026</v>
      </c>
      <c r="AK12" s="43">
        <f t="shared" si="3"/>
        <v>2027</v>
      </c>
      <c r="AL12" s="43">
        <f t="shared" si="3"/>
        <v>2028</v>
      </c>
      <c r="AM12" s="43">
        <f t="shared" si="3"/>
        <v>2029</v>
      </c>
      <c r="AN12" s="43">
        <f t="shared" si="3"/>
        <v>2030</v>
      </c>
      <c r="AO12" s="44">
        <f t="shared" si="3"/>
        <v>2031</v>
      </c>
    </row>
    <row r="13" spans="3:67" ht="15.75" thickTop="1">
      <c r="C13" s="24" t="s">
        <v>5</v>
      </c>
      <c r="D13" s="244">
        <v>0</v>
      </c>
      <c r="E13" s="244">
        <v>0</v>
      </c>
      <c r="F13" s="244">
        <v>0</v>
      </c>
      <c r="G13" s="244">
        <v>0</v>
      </c>
      <c r="H13" s="244">
        <v>0</v>
      </c>
      <c r="I13" s="244">
        <v>0</v>
      </c>
      <c r="J13" s="244">
        <v>0</v>
      </c>
      <c r="K13" s="244">
        <v>0</v>
      </c>
      <c r="L13" s="244">
        <v>0</v>
      </c>
      <c r="M13" s="244">
        <v>0</v>
      </c>
      <c r="Q13" s="19"/>
      <c r="R13" s="19"/>
      <c r="S13" s="19"/>
      <c r="T13" s="19"/>
      <c r="U13" s="19"/>
      <c r="V13" s="19"/>
    </row>
    <row r="14" spans="3:67">
      <c r="C14" s="24" t="s">
        <v>6</v>
      </c>
      <c r="D14" s="244">
        <v>0</v>
      </c>
      <c r="E14" s="244">
        <v>0</v>
      </c>
      <c r="F14" s="244">
        <v>0</v>
      </c>
      <c r="G14" s="244">
        <v>0</v>
      </c>
      <c r="H14" s="244">
        <v>0</v>
      </c>
      <c r="I14" s="244">
        <v>0</v>
      </c>
      <c r="J14" s="244">
        <v>0</v>
      </c>
      <c r="K14" s="244">
        <v>0</v>
      </c>
      <c r="L14" s="244">
        <v>0</v>
      </c>
      <c r="M14" s="244">
        <v>0</v>
      </c>
      <c r="Q14" s="19"/>
      <c r="R14" s="19"/>
      <c r="S14" s="19"/>
      <c r="T14" s="19"/>
      <c r="U14" s="19"/>
      <c r="V14" s="19"/>
    </row>
    <row r="15" spans="3:67">
      <c r="C15" s="24" t="s">
        <v>7</v>
      </c>
      <c r="D15" s="244">
        <v>0</v>
      </c>
      <c r="E15" s="244">
        <v>0</v>
      </c>
      <c r="F15" s="244">
        <v>0</v>
      </c>
      <c r="G15" s="244">
        <v>0</v>
      </c>
      <c r="H15" s="244">
        <v>0</v>
      </c>
      <c r="I15" s="244">
        <v>0</v>
      </c>
      <c r="J15" s="244">
        <v>0</v>
      </c>
      <c r="K15" s="244">
        <v>0</v>
      </c>
      <c r="L15" s="244">
        <v>0</v>
      </c>
      <c r="M15" s="244">
        <v>0</v>
      </c>
      <c r="Q15" s="19"/>
      <c r="R15" s="19"/>
      <c r="S15" s="19"/>
      <c r="T15" s="19"/>
      <c r="U15" s="19"/>
      <c r="V15" s="19"/>
    </row>
    <row r="16" spans="3:67">
      <c r="C16" s="24" t="s">
        <v>8</v>
      </c>
      <c r="D16" s="244">
        <v>0</v>
      </c>
      <c r="E16" s="244">
        <v>0</v>
      </c>
      <c r="F16" s="244">
        <v>0</v>
      </c>
      <c r="G16" s="244">
        <v>0</v>
      </c>
      <c r="H16" s="244">
        <v>0</v>
      </c>
      <c r="I16" s="244">
        <v>0</v>
      </c>
      <c r="J16" s="244">
        <v>0</v>
      </c>
      <c r="K16" s="244">
        <v>0</v>
      </c>
      <c r="L16" s="244">
        <v>0</v>
      </c>
      <c r="M16" s="244">
        <v>0</v>
      </c>
      <c r="Q16" s="19"/>
      <c r="R16" s="19"/>
      <c r="S16" s="19"/>
      <c r="T16" s="19"/>
      <c r="U16" s="19"/>
      <c r="V16" s="19"/>
    </row>
    <row r="17" spans="3:22">
      <c r="C17" s="24" t="s">
        <v>14</v>
      </c>
      <c r="D17" s="244">
        <v>0</v>
      </c>
      <c r="E17" s="244">
        <v>0</v>
      </c>
      <c r="F17" s="244">
        <v>0</v>
      </c>
      <c r="G17" s="244">
        <v>0</v>
      </c>
      <c r="H17" s="244">
        <v>0</v>
      </c>
      <c r="I17" s="244">
        <v>0</v>
      </c>
      <c r="J17" s="244">
        <v>0</v>
      </c>
      <c r="K17" s="244">
        <v>0</v>
      </c>
      <c r="L17" s="244">
        <v>0</v>
      </c>
      <c r="M17" s="244">
        <v>0</v>
      </c>
      <c r="Q17" s="19"/>
      <c r="R17" s="19"/>
      <c r="S17" s="19"/>
      <c r="T17" s="19"/>
      <c r="U17" s="19"/>
      <c r="V17" s="19"/>
    </row>
    <row r="18" spans="3:22">
      <c r="C18" s="24" t="s">
        <v>15</v>
      </c>
      <c r="D18" s="244">
        <v>0</v>
      </c>
      <c r="E18" s="244">
        <v>0</v>
      </c>
      <c r="F18" s="244">
        <v>0</v>
      </c>
      <c r="G18" s="244">
        <v>0</v>
      </c>
      <c r="H18" s="244">
        <v>0</v>
      </c>
      <c r="I18" s="244">
        <v>0</v>
      </c>
      <c r="J18" s="244">
        <v>0</v>
      </c>
      <c r="K18" s="244">
        <v>0</v>
      </c>
      <c r="L18" s="244">
        <v>0</v>
      </c>
      <c r="M18" s="244">
        <v>0</v>
      </c>
      <c r="Q18" s="19"/>
      <c r="R18" s="19"/>
      <c r="S18" s="19"/>
      <c r="T18" s="19"/>
      <c r="U18" s="19"/>
      <c r="V18" s="19"/>
    </row>
    <row r="19" spans="3:22">
      <c r="C19" s="24" t="s">
        <v>16</v>
      </c>
      <c r="D19" s="244">
        <v>0</v>
      </c>
      <c r="E19" s="244">
        <v>0</v>
      </c>
      <c r="F19" s="244">
        <v>0</v>
      </c>
      <c r="G19" s="244">
        <v>0</v>
      </c>
      <c r="H19" s="244">
        <v>0</v>
      </c>
      <c r="I19" s="244">
        <v>0</v>
      </c>
      <c r="J19" s="244">
        <v>0</v>
      </c>
      <c r="K19" s="244">
        <v>0</v>
      </c>
      <c r="L19" s="244">
        <v>0</v>
      </c>
      <c r="M19" s="244">
        <v>0</v>
      </c>
      <c r="Q19" s="19"/>
      <c r="R19" s="19"/>
      <c r="S19" s="19"/>
      <c r="T19" s="19"/>
      <c r="U19" s="19"/>
      <c r="V19" s="19"/>
    </row>
    <row r="20" spans="3:22">
      <c r="C20" s="28" t="s">
        <v>17</v>
      </c>
      <c r="D20" s="244">
        <v>0</v>
      </c>
      <c r="E20" s="244">
        <v>0</v>
      </c>
      <c r="F20" s="244">
        <v>0</v>
      </c>
      <c r="G20" s="244">
        <v>0</v>
      </c>
      <c r="H20" s="244">
        <v>0</v>
      </c>
      <c r="I20" s="244">
        <v>0</v>
      </c>
      <c r="J20" s="244">
        <v>0</v>
      </c>
      <c r="K20" s="244">
        <v>0</v>
      </c>
      <c r="L20" s="244">
        <v>0</v>
      </c>
      <c r="M20" s="244">
        <v>0</v>
      </c>
      <c r="Q20" s="19"/>
      <c r="R20" s="19"/>
      <c r="S20" s="19"/>
      <c r="T20" s="19"/>
      <c r="U20" s="19"/>
      <c r="V20" s="19"/>
    </row>
    <row r="21" spans="3:22">
      <c r="C21" s="4"/>
      <c r="D21" s="29"/>
      <c r="E21" s="29"/>
      <c r="F21" s="29"/>
      <c r="G21" s="29"/>
      <c r="H21" s="29"/>
      <c r="I21" s="29"/>
      <c r="J21" s="29"/>
      <c r="K21" s="29"/>
      <c r="L21" s="29"/>
      <c r="M21" s="29"/>
      <c r="Q21" s="19"/>
      <c r="R21" s="19"/>
      <c r="S21" s="19"/>
      <c r="T21" s="19"/>
      <c r="U21" s="19"/>
      <c r="V21" s="19"/>
    </row>
    <row r="22" spans="3:22">
      <c r="C22" s="8" t="s">
        <v>125</v>
      </c>
      <c r="D22" s="7">
        <f t="shared" ref="D22:M22" si="4">SUM(D8:D13)</f>
        <v>0</v>
      </c>
      <c r="E22" s="7">
        <f t="shared" si="4"/>
        <v>0</v>
      </c>
      <c r="F22" s="7">
        <f t="shared" si="4"/>
        <v>0</v>
      </c>
      <c r="G22" s="7">
        <f t="shared" si="4"/>
        <v>0</v>
      </c>
      <c r="H22" s="7">
        <f t="shared" si="4"/>
        <v>0</v>
      </c>
      <c r="I22" s="7">
        <f t="shared" si="4"/>
        <v>0</v>
      </c>
      <c r="J22" s="7">
        <f t="shared" si="4"/>
        <v>0</v>
      </c>
      <c r="K22" s="7">
        <f t="shared" si="4"/>
        <v>0</v>
      </c>
      <c r="L22" s="7">
        <f t="shared" si="4"/>
        <v>0</v>
      </c>
      <c r="M22" s="7">
        <f t="shared" si="4"/>
        <v>0</v>
      </c>
    </row>
    <row r="23" spans="3:22">
      <c r="C23" s="9" t="s">
        <v>124</v>
      </c>
      <c r="D23" s="7">
        <f t="shared" ref="D23:M23" si="5">SUM(D14:D16)</f>
        <v>0</v>
      </c>
      <c r="E23" s="7">
        <f t="shared" si="5"/>
        <v>0</v>
      </c>
      <c r="F23" s="7">
        <f t="shared" si="5"/>
        <v>0</v>
      </c>
      <c r="G23" s="7">
        <f t="shared" si="5"/>
        <v>0</v>
      </c>
      <c r="H23" s="7">
        <f t="shared" si="5"/>
        <v>0</v>
      </c>
      <c r="I23" s="7">
        <f t="shared" si="5"/>
        <v>0</v>
      </c>
      <c r="J23" s="7">
        <f t="shared" si="5"/>
        <v>0</v>
      </c>
      <c r="K23" s="7">
        <f t="shared" si="5"/>
        <v>0</v>
      </c>
      <c r="L23" s="7">
        <f t="shared" si="5"/>
        <v>0</v>
      </c>
      <c r="M23" s="7">
        <f t="shared" si="5"/>
        <v>0</v>
      </c>
    </row>
    <row r="24" spans="3:22">
      <c r="C24" s="9" t="s">
        <v>123</v>
      </c>
      <c r="D24" s="7">
        <f t="shared" ref="D24:M24" si="6">SUM(D17:D20)</f>
        <v>0</v>
      </c>
      <c r="E24" s="7">
        <f t="shared" si="6"/>
        <v>0</v>
      </c>
      <c r="F24" s="7">
        <f t="shared" si="6"/>
        <v>0</v>
      </c>
      <c r="G24" s="7">
        <f t="shared" si="6"/>
        <v>0</v>
      </c>
      <c r="H24" s="7">
        <f t="shared" si="6"/>
        <v>0</v>
      </c>
      <c r="I24" s="7">
        <f t="shared" si="6"/>
        <v>0</v>
      </c>
      <c r="J24" s="7">
        <f t="shared" si="6"/>
        <v>0</v>
      </c>
      <c r="K24" s="7">
        <f t="shared" si="6"/>
        <v>0</v>
      </c>
      <c r="L24" s="7">
        <f t="shared" si="6"/>
        <v>0</v>
      </c>
      <c r="M24" s="7">
        <f t="shared" si="6"/>
        <v>0</v>
      </c>
    </row>
    <row r="25" spans="3:22">
      <c r="C25" s="9" t="s">
        <v>25</v>
      </c>
      <c r="D25" s="7">
        <f>SUM(D22:D24)</f>
        <v>0</v>
      </c>
      <c r="E25" s="7">
        <f t="shared" ref="E25:M25" si="7">SUM(E22:E24)</f>
        <v>0</v>
      </c>
      <c r="F25" s="7">
        <f t="shared" si="7"/>
        <v>0</v>
      </c>
      <c r="G25" s="7">
        <f t="shared" si="7"/>
        <v>0</v>
      </c>
      <c r="H25" s="7">
        <f t="shared" si="7"/>
        <v>0</v>
      </c>
      <c r="I25" s="7">
        <f t="shared" si="7"/>
        <v>0</v>
      </c>
      <c r="J25" s="7">
        <f t="shared" si="7"/>
        <v>0</v>
      </c>
      <c r="K25" s="7">
        <f t="shared" si="7"/>
        <v>0</v>
      </c>
      <c r="L25" s="7">
        <f t="shared" si="7"/>
        <v>0</v>
      </c>
      <c r="M25" s="7">
        <f t="shared" si="7"/>
        <v>0</v>
      </c>
    </row>
    <row r="26" spans="3:22">
      <c r="C26" s="10" t="s">
        <v>122</v>
      </c>
      <c r="D26" s="7">
        <f>D25</f>
        <v>0</v>
      </c>
      <c r="E26" s="7">
        <f t="shared" ref="E26:M26" si="8">E25-D25</f>
        <v>0</v>
      </c>
      <c r="F26" s="7">
        <f t="shared" si="8"/>
        <v>0</v>
      </c>
      <c r="G26" s="7">
        <f t="shared" si="8"/>
        <v>0</v>
      </c>
      <c r="H26" s="7">
        <f t="shared" si="8"/>
        <v>0</v>
      </c>
      <c r="I26" s="7">
        <f t="shared" si="8"/>
        <v>0</v>
      </c>
      <c r="J26" s="7">
        <f t="shared" si="8"/>
        <v>0</v>
      </c>
      <c r="K26" s="7">
        <f t="shared" si="8"/>
        <v>0</v>
      </c>
      <c r="L26" s="7">
        <f t="shared" si="8"/>
        <v>0</v>
      </c>
      <c r="M26" s="7">
        <f t="shared" si="8"/>
        <v>0</v>
      </c>
    </row>
    <row r="27" spans="3:22">
      <c r="C27" s="253"/>
      <c r="D27" s="254"/>
      <c r="E27" s="254"/>
      <c r="F27" s="254"/>
      <c r="G27" s="254"/>
      <c r="H27" s="254"/>
      <c r="I27" s="254"/>
      <c r="J27" s="254"/>
      <c r="K27" s="254"/>
      <c r="L27" s="254"/>
      <c r="M27" s="254"/>
    </row>
    <row r="28" spans="3:22" ht="21.95" customHeight="1">
      <c r="C28" s="255" t="s">
        <v>224</v>
      </c>
      <c r="D28" s="4"/>
      <c r="E28" s="4"/>
      <c r="F28" s="4"/>
      <c r="G28" s="4"/>
      <c r="H28" s="4"/>
      <c r="I28" s="4"/>
      <c r="J28" s="4"/>
      <c r="K28" s="4"/>
      <c r="L28" s="4"/>
      <c r="M28" s="4"/>
    </row>
    <row r="29" spans="3:22">
      <c r="C29" s="11" t="s">
        <v>121</v>
      </c>
      <c r="D29" s="245">
        <v>0</v>
      </c>
      <c r="E29" s="245">
        <v>0</v>
      </c>
      <c r="F29" s="245">
        <v>0</v>
      </c>
      <c r="G29" s="245">
        <v>0</v>
      </c>
      <c r="H29" s="245">
        <v>0</v>
      </c>
      <c r="I29" s="245">
        <v>0</v>
      </c>
      <c r="J29" s="245">
        <v>0</v>
      </c>
      <c r="K29" s="245">
        <v>0</v>
      </c>
      <c r="L29" s="245">
        <v>0</v>
      </c>
      <c r="M29" s="245">
        <v>0</v>
      </c>
    </row>
    <row r="30" spans="3:22">
      <c r="C30" s="9" t="s">
        <v>140</v>
      </c>
      <c r="D30" s="47">
        <f t="shared" ref="D30:M30" si="9">D25*D29</f>
        <v>0</v>
      </c>
      <c r="E30" s="47">
        <f t="shared" si="9"/>
        <v>0</v>
      </c>
      <c r="F30" s="47">
        <f t="shared" si="9"/>
        <v>0</v>
      </c>
      <c r="G30" s="47">
        <f t="shared" si="9"/>
        <v>0</v>
      </c>
      <c r="H30" s="47">
        <f t="shared" si="9"/>
        <v>0</v>
      </c>
      <c r="I30" s="47">
        <f t="shared" si="9"/>
        <v>0</v>
      </c>
      <c r="J30" s="47">
        <f t="shared" si="9"/>
        <v>0</v>
      </c>
      <c r="K30" s="47">
        <f t="shared" si="9"/>
        <v>0</v>
      </c>
      <c r="L30" s="47">
        <f t="shared" si="9"/>
        <v>0</v>
      </c>
      <c r="M30" s="47">
        <f t="shared" si="9"/>
        <v>0</v>
      </c>
    </row>
    <row r="31" spans="3:22" ht="9.9499999999999993" customHeight="1">
      <c r="C31" s="12"/>
      <c r="D31" s="5"/>
      <c r="E31" s="5"/>
      <c r="F31" s="5"/>
      <c r="G31" s="5"/>
      <c r="H31" s="5"/>
      <c r="I31" s="5"/>
      <c r="J31" s="5"/>
      <c r="K31" s="5"/>
      <c r="L31" s="5"/>
      <c r="M31" s="6"/>
    </row>
    <row r="32" spans="3:22">
      <c r="C32" s="13" t="s">
        <v>120</v>
      </c>
      <c r="D32" s="245">
        <v>0</v>
      </c>
      <c r="E32" s="245">
        <v>0</v>
      </c>
      <c r="F32" s="245">
        <v>0</v>
      </c>
      <c r="G32" s="245">
        <v>0</v>
      </c>
      <c r="H32" s="245">
        <v>0</v>
      </c>
      <c r="I32" s="245">
        <v>0</v>
      </c>
      <c r="J32" s="245">
        <v>0</v>
      </c>
      <c r="K32" s="245">
        <v>0</v>
      </c>
      <c r="L32" s="245">
        <v>0</v>
      </c>
      <c r="M32" s="245">
        <v>0</v>
      </c>
    </row>
    <row r="33" spans="3:13">
      <c r="C33" s="9" t="s">
        <v>119</v>
      </c>
      <c r="D33" s="47">
        <f t="shared" ref="D33:M33" si="10">D25*D32</f>
        <v>0</v>
      </c>
      <c r="E33" s="47">
        <f t="shared" si="10"/>
        <v>0</v>
      </c>
      <c r="F33" s="47">
        <f t="shared" si="10"/>
        <v>0</v>
      </c>
      <c r="G33" s="47">
        <f t="shared" si="10"/>
        <v>0</v>
      </c>
      <c r="H33" s="47">
        <f t="shared" si="10"/>
        <v>0</v>
      </c>
      <c r="I33" s="47">
        <f t="shared" si="10"/>
        <v>0</v>
      </c>
      <c r="J33" s="47">
        <f t="shared" si="10"/>
        <v>0</v>
      </c>
      <c r="K33" s="47">
        <f t="shared" si="10"/>
        <v>0</v>
      </c>
      <c r="L33" s="47">
        <f t="shared" si="10"/>
        <v>0</v>
      </c>
      <c r="M33" s="47">
        <f t="shared" si="10"/>
        <v>0</v>
      </c>
    </row>
    <row r="34" spans="3:13" ht="9.9499999999999993" customHeight="1">
      <c r="C34" s="12"/>
      <c r="D34" s="5"/>
      <c r="E34" s="5"/>
      <c r="F34" s="5"/>
      <c r="G34" s="5"/>
      <c r="H34" s="5"/>
      <c r="I34" s="5"/>
      <c r="J34" s="5"/>
      <c r="K34" s="5"/>
      <c r="L34" s="5"/>
      <c r="M34" s="6"/>
    </row>
    <row r="35" spans="3:13" ht="15" customHeight="1">
      <c r="C35" s="13" t="s">
        <v>110</v>
      </c>
      <c r="D35" s="245">
        <v>0</v>
      </c>
      <c r="E35" s="245">
        <v>0</v>
      </c>
      <c r="F35" s="245">
        <v>0</v>
      </c>
      <c r="G35" s="245">
        <v>0</v>
      </c>
      <c r="H35" s="245">
        <v>0</v>
      </c>
      <c r="I35" s="245">
        <v>0</v>
      </c>
      <c r="J35" s="245">
        <v>0</v>
      </c>
      <c r="K35" s="245">
        <v>0</v>
      </c>
      <c r="L35" s="245">
        <v>0</v>
      </c>
      <c r="M35" s="245">
        <v>0</v>
      </c>
    </row>
    <row r="36" spans="3:13" ht="15" customHeight="1">
      <c r="C36" s="9" t="s">
        <v>149</v>
      </c>
      <c r="D36" s="47">
        <f>D25*D35</f>
        <v>0</v>
      </c>
      <c r="E36" s="47">
        <f t="shared" ref="E36:M36" si="11">E25*E35</f>
        <v>0</v>
      </c>
      <c r="F36" s="47">
        <f t="shared" si="11"/>
        <v>0</v>
      </c>
      <c r="G36" s="47">
        <f t="shared" si="11"/>
        <v>0</v>
      </c>
      <c r="H36" s="47">
        <f t="shared" si="11"/>
        <v>0</v>
      </c>
      <c r="I36" s="47">
        <f t="shared" si="11"/>
        <v>0</v>
      </c>
      <c r="J36" s="47">
        <f t="shared" si="11"/>
        <v>0</v>
      </c>
      <c r="K36" s="47">
        <f t="shared" si="11"/>
        <v>0</v>
      </c>
      <c r="L36" s="47">
        <f t="shared" si="11"/>
        <v>0</v>
      </c>
      <c r="M36" s="47">
        <f t="shared" si="11"/>
        <v>0</v>
      </c>
    </row>
    <row r="37" spans="3:13" ht="15" customHeight="1">
      <c r="C37" s="9"/>
      <c r="D37" s="45"/>
      <c r="E37" s="45"/>
      <c r="F37" s="45"/>
      <c r="G37" s="45"/>
      <c r="H37" s="45"/>
      <c r="I37" s="45"/>
      <c r="J37" s="45"/>
      <c r="K37" s="45"/>
      <c r="L37" s="45"/>
      <c r="M37" s="46"/>
    </row>
    <row r="38" spans="3:13" ht="15" customHeight="1">
      <c r="C38" s="13" t="s">
        <v>112</v>
      </c>
      <c r="D38" s="245">
        <v>0</v>
      </c>
      <c r="E38" s="245">
        <v>0</v>
      </c>
      <c r="F38" s="245">
        <v>0</v>
      </c>
      <c r="G38" s="245">
        <v>0</v>
      </c>
      <c r="H38" s="245">
        <v>0</v>
      </c>
      <c r="I38" s="245">
        <v>0</v>
      </c>
      <c r="J38" s="245">
        <v>0</v>
      </c>
      <c r="K38" s="245">
        <v>0</v>
      </c>
      <c r="L38" s="245">
        <v>0</v>
      </c>
      <c r="M38" s="245">
        <v>0</v>
      </c>
    </row>
    <row r="39" spans="3:13" ht="15" customHeight="1">
      <c r="C39" s="9" t="s">
        <v>111</v>
      </c>
      <c r="D39" s="48">
        <f t="shared" ref="D39:M39" si="12">D25*D38</f>
        <v>0</v>
      </c>
      <c r="E39" s="48">
        <f t="shared" si="12"/>
        <v>0</v>
      </c>
      <c r="F39" s="48">
        <f t="shared" si="12"/>
        <v>0</v>
      </c>
      <c r="G39" s="48">
        <f t="shared" si="12"/>
        <v>0</v>
      </c>
      <c r="H39" s="48">
        <f t="shared" si="12"/>
        <v>0</v>
      </c>
      <c r="I39" s="48">
        <f t="shared" si="12"/>
        <v>0</v>
      </c>
      <c r="J39" s="48">
        <f t="shared" si="12"/>
        <v>0</v>
      </c>
      <c r="K39" s="48">
        <f t="shared" si="12"/>
        <v>0</v>
      </c>
      <c r="L39" s="48">
        <f t="shared" si="12"/>
        <v>0</v>
      </c>
      <c r="M39" s="48">
        <f t="shared" si="12"/>
        <v>0</v>
      </c>
    </row>
    <row r="40" spans="3:13" ht="9.9499999999999993" customHeight="1">
      <c r="C40" s="12"/>
      <c r="D40" s="5"/>
      <c r="E40" s="5"/>
      <c r="F40" s="5"/>
      <c r="G40" s="5"/>
      <c r="H40" s="5"/>
      <c r="I40" s="5"/>
      <c r="J40" s="5"/>
      <c r="K40" s="5"/>
      <c r="L40" s="5"/>
      <c r="M40" s="6"/>
    </row>
    <row r="41" spans="3:13">
      <c r="C41" s="13" t="s">
        <v>118</v>
      </c>
      <c r="D41" s="245">
        <v>0</v>
      </c>
      <c r="E41" s="245">
        <v>0</v>
      </c>
      <c r="F41" s="245">
        <v>0</v>
      </c>
      <c r="G41" s="245">
        <v>0</v>
      </c>
      <c r="H41" s="245">
        <v>0</v>
      </c>
      <c r="I41" s="245">
        <v>0</v>
      </c>
      <c r="J41" s="245">
        <v>0</v>
      </c>
      <c r="K41" s="245">
        <v>0</v>
      </c>
      <c r="L41" s="245">
        <v>0</v>
      </c>
      <c r="M41" s="245">
        <v>0</v>
      </c>
    </row>
    <row r="42" spans="3:13">
      <c r="C42" s="9" t="s">
        <v>117</v>
      </c>
      <c r="D42" s="47">
        <f t="shared" ref="D42:M42" si="13">D25*D41</f>
        <v>0</v>
      </c>
      <c r="E42" s="47">
        <f t="shared" si="13"/>
        <v>0</v>
      </c>
      <c r="F42" s="47">
        <f t="shared" si="13"/>
        <v>0</v>
      </c>
      <c r="G42" s="47">
        <f t="shared" si="13"/>
        <v>0</v>
      </c>
      <c r="H42" s="47">
        <f t="shared" si="13"/>
        <v>0</v>
      </c>
      <c r="I42" s="47">
        <f t="shared" si="13"/>
        <v>0</v>
      </c>
      <c r="J42" s="47">
        <f t="shared" si="13"/>
        <v>0</v>
      </c>
      <c r="K42" s="47">
        <f t="shared" si="13"/>
        <v>0</v>
      </c>
      <c r="L42" s="47">
        <f t="shared" si="13"/>
        <v>0</v>
      </c>
      <c r="M42" s="47">
        <f t="shared" si="13"/>
        <v>0</v>
      </c>
    </row>
    <row r="43" spans="3:13" ht="9.9499999999999993" customHeight="1">
      <c r="C43" s="12"/>
      <c r="D43" s="5"/>
      <c r="E43" s="5"/>
      <c r="F43" s="5"/>
      <c r="G43" s="5"/>
      <c r="H43" s="5"/>
      <c r="I43" s="5"/>
      <c r="J43" s="5"/>
      <c r="K43" s="5"/>
      <c r="L43" s="5"/>
      <c r="M43" s="6"/>
    </row>
    <row r="44" spans="3:13">
      <c r="C44" s="13" t="s">
        <v>116</v>
      </c>
      <c r="D44" s="245">
        <v>0</v>
      </c>
      <c r="E44" s="245">
        <v>0</v>
      </c>
      <c r="F44" s="245">
        <v>0</v>
      </c>
      <c r="G44" s="245">
        <v>0</v>
      </c>
      <c r="H44" s="245">
        <v>0</v>
      </c>
      <c r="I44" s="245">
        <v>0</v>
      </c>
      <c r="J44" s="245">
        <v>0</v>
      </c>
      <c r="K44" s="245">
        <v>0</v>
      </c>
      <c r="L44" s="245">
        <v>0</v>
      </c>
      <c r="M44" s="245">
        <v>0</v>
      </c>
    </row>
    <row r="45" spans="3:13">
      <c r="C45" s="9" t="s">
        <v>115</v>
      </c>
      <c r="D45" s="49">
        <f t="shared" ref="D45:M45" si="14">D25*D44</f>
        <v>0</v>
      </c>
      <c r="E45" s="49">
        <f t="shared" si="14"/>
        <v>0</v>
      </c>
      <c r="F45" s="49">
        <f t="shared" si="14"/>
        <v>0</v>
      </c>
      <c r="G45" s="49">
        <f t="shared" si="14"/>
        <v>0</v>
      </c>
      <c r="H45" s="49">
        <f t="shared" si="14"/>
        <v>0</v>
      </c>
      <c r="I45" s="49">
        <f t="shared" si="14"/>
        <v>0</v>
      </c>
      <c r="J45" s="49">
        <f t="shared" si="14"/>
        <v>0</v>
      </c>
      <c r="K45" s="49">
        <f t="shared" si="14"/>
        <v>0</v>
      </c>
      <c r="L45" s="49">
        <f t="shared" si="14"/>
        <v>0</v>
      </c>
      <c r="M45" s="49">
        <f t="shared" si="14"/>
        <v>0</v>
      </c>
    </row>
    <row r="46" spans="3:13" ht="9.9499999999999993" customHeight="1">
      <c r="C46" s="12"/>
      <c r="D46" s="5"/>
      <c r="E46" s="5"/>
      <c r="F46" s="5"/>
      <c r="G46" s="5"/>
      <c r="H46" s="5"/>
      <c r="I46" s="5"/>
      <c r="J46" s="5"/>
      <c r="K46" s="5"/>
      <c r="L46" s="5"/>
      <c r="M46" s="6"/>
    </row>
    <row r="47" spans="3:13">
      <c r="C47" s="13" t="s">
        <v>114</v>
      </c>
      <c r="D47" s="14">
        <f t="shared" ref="D47:M47" si="15">IF(D41+D44&gt;100%,"ERROR",D41+D44)</f>
        <v>0</v>
      </c>
      <c r="E47" s="14">
        <f t="shared" si="15"/>
        <v>0</v>
      </c>
      <c r="F47" s="14">
        <f t="shared" si="15"/>
        <v>0</v>
      </c>
      <c r="G47" s="14">
        <f t="shared" si="15"/>
        <v>0</v>
      </c>
      <c r="H47" s="14">
        <f t="shared" si="15"/>
        <v>0</v>
      </c>
      <c r="I47" s="14">
        <f t="shared" si="15"/>
        <v>0</v>
      </c>
      <c r="J47" s="14">
        <f t="shared" si="15"/>
        <v>0</v>
      </c>
      <c r="K47" s="14">
        <f t="shared" si="15"/>
        <v>0</v>
      </c>
      <c r="L47" s="14">
        <f t="shared" si="15"/>
        <v>0</v>
      </c>
      <c r="M47" s="14">
        <f t="shared" si="15"/>
        <v>0</v>
      </c>
    </row>
    <row r="48" spans="3:13">
      <c r="C48" s="9" t="s">
        <v>113</v>
      </c>
      <c r="D48" s="47">
        <f t="shared" ref="D48:M48" si="16">D42+D45</f>
        <v>0</v>
      </c>
      <c r="E48" s="47">
        <f t="shared" si="16"/>
        <v>0</v>
      </c>
      <c r="F48" s="47">
        <f t="shared" si="16"/>
        <v>0</v>
      </c>
      <c r="G48" s="47">
        <f t="shared" si="16"/>
        <v>0</v>
      </c>
      <c r="H48" s="47">
        <f t="shared" si="16"/>
        <v>0</v>
      </c>
      <c r="I48" s="47">
        <f t="shared" si="16"/>
        <v>0</v>
      </c>
      <c r="J48" s="47">
        <f t="shared" si="16"/>
        <v>0</v>
      </c>
      <c r="K48" s="47">
        <f t="shared" si="16"/>
        <v>0</v>
      </c>
      <c r="L48" s="47">
        <f t="shared" si="16"/>
        <v>0</v>
      </c>
      <c r="M48" s="47">
        <f t="shared" si="16"/>
        <v>0</v>
      </c>
    </row>
    <row r="49" spans="3:13" ht="9.9499999999999993" customHeight="1">
      <c r="C49" s="12"/>
      <c r="D49" s="5"/>
      <c r="E49" s="5"/>
      <c r="F49" s="5"/>
      <c r="G49" s="5"/>
      <c r="H49" s="5"/>
      <c r="I49" s="5"/>
      <c r="J49" s="5"/>
      <c r="K49" s="5"/>
      <c r="L49" s="5"/>
      <c r="M49" s="6"/>
    </row>
    <row r="50" spans="3:13">
      <c r="C50" s="12" t="s">
        <v>141</v>
      </c>
      <c r="D50" s="245">
        <v>0</v>
      </c>
      <c r="E50" s="245">
        <v>0</v>
      </c>
      <c r="F50" s="245">
        <v>0</v>
      </c>
      <c r="G50" s="245">
        <v>0</v>
      </c>
      <c r="H50" s="245">
        <v>0</v>
      </c>
      <c r="I50" s="245">
        <v>0</v>
      </c>
      <c r="J50" s="245">
        <v>0</v>
      </c>
      <c r="K50" s="245">
        <v>0</v>
      </c>
      <c r="L50" s="245">
        <v>0</v>
      </c>
      <c r="M50" s="245">
        <v>0</v>
      </c>
    </row>
    <row r="51" spans="3:13">
      <c r="C51" s="9" t="s">
        <v>145</v>
      </c>
      <c r="D51" s="47">
        <f t="shared" ref="D51:M51" si="17">D25*D50</f>
        <v>0</v>
      </c>
      <c r="E51" s="47">
        <f t="shared" si="17"/>
        <v>0</v>
      </c>
      <c r="F51" s="47">
        <f t="shared" si="17"/>
        <v>0</v>
      </c>
      <c r="G51" s="47">
        <f t="shared" si="17"/>
        <v>0</v>
      </c>
      <c r="H51" s="47">
        <f t="shared" si="17"/>
        <v>0</v>
      </c>
      <c r="I51" s="47">
        <f t="shared" si="17"/>
        <v>0</v>
      </c>
      <c r="J51" s="47">
        <f t="shared" si="17"/>
        <v>0</v>
      </c>
      <c r="K51" s="47">
        <f t="shared" si="17"/>
        <v>0</v>
      </c>
      <c r="L51" s="47">
        <f t="shared" si="17"/>
        <v>0</v>
      </c>
      <c r="M51" s="47">
        <f t="shared" si="17"/>
        <v>0</v>
      </c>
    </row>
    <row r="52" spans="3:13" ht="9.9499999999999993" customHeight="1">
      <c r="C52" s="12"/>
      <c r="D52" s="5"/>
      <c r="E52" s="5"/>
      <c r="F52" s="5"/>
      <c r="G52" s="5"/>
      <c r="H52" s="5"/>
      <c r="I52" s="5"/>
      <c r="J52" s="5"/>
      <c r="K52" s="5"/>
      <c r="L52" s="5"/>
      <c r="M52" s="6"/>
    </row>
    <row r="53" spans="3:13">
      <c r="C53" s="12" t="s">
        <v>142</v>
      </c>
      <c r="D53" s="245">
        <v>0</v>
      </c>
      <c r="E53" s="245">
        <v>0</v>
      </c>
      <c r="F53" s="245">
        <v>0</v>
      </c>
      <c r="G53" s="245">
        <v>0</v>
      </c>
      <c r="H53" s="245">
        <v>0</v>
      </c>
      <c r="I53" s="245">
        <v>0</v>
      </c>
      <c r="J53" s="245">
        <v>0</v>
      </c>
      <c r="K53" s="245">
        <v>0</v>
      </c>
      <c r="L53" s="245">
        <v>0</v>
      </c>
      <c r="M53" s="245">
        <v>0</v>
      </c>
    </row>
    <row r="54" spans="3:13">
      <c r="C54" s="9" t="s">
        <v>146</v>
      </c>
      <c r="D54" s="47">
        <f t="shared" ref="D54:M54" si="18">D25*D53</f>
        <v>0</v>
      </c>
      <c r="E54" s="47">
        <f t="shared" si="18"/>
        <v>0</v>
      </c>
      <c r="F54" s="47">
        <f t="shared" si="18"/>
        <v>0</v>
      </c>
      <c r="G54" s="47">
        <f t="shared" si="18"/>
        <v>0</v>
      </c>
      <c r="H54" s="47">
        <f t="shared" si="18"/>
        <v>0</v>
      </c>
      <c r="I54" s="47">
        <f t="shared" si="18"/>
        <v>0</v>
      </c>
      <c r="J54" s="47">
        <f t="shared" si="18"/>
        <v>0</v>
      </c>
      <c r="K54" s="47">
        <f t="shared" si="18"/>
        <v>0</v>
      </c>
      <c r="L54" s="47">
        <f t="shared" si="18"/>
        <v>0</v>
      </c>
      <c r="M54" s="47">
        <f t="shared" si="18"/>
        <v>0</v>
      </c>
    </row>
    <row r="55" spans="3:13" ht="9.9499999999999993" customHeight="1">
      <c r="C55" s="30"/>
      <c r="D55" s="22"/>
      <c r="E55" s="22"/>
      <c r="F55" s="22"/>
      <c r="G55" s="22"/>
      <c r="H55" s="22"/>
      <c r="I55" s="22"/>
      <c r="J55" s="22"/>
      <c r="K55" s="22"/>
      <c r="L55" s="22"/>
      <c r="M55" s="31"/>
    </row>
    <row r="56" spans="3:13">
      <c r="C56" s="12" t="s">
        <v>143</v>
      </c>
      <c r="D56" s="245">
        <v>0</v>
      </c>
      <c r="E56" s="245">
        <v>0</v>
      </c>
      <c r="F56" s="245">
        <v>0</v>
      </c>
      <c r="G56" s="245">
        <v>0</v>
      </c>
      <c r="H56" s="245">
        <v>0</v>
      </c>
      <c r="I56" s="245">
        <v>0</v>
      </c>
      <c r="J56" s="245">
        <v>0</v>
      </c>
      <c r="K56" s="245">
        <v>0</v>
      </c>
      <c r="L56" s="245">
        <v>0</v>
      </c>
      <c r="M56" s="245">
        <v>0</v>
      </c>
    </row>
    <row r="57" spans="3:13">
      <c r="C57" s="9" t="s">
        <v>147</v>
      </c>
      <c r="D57" s="47">
        <f t="shared" ref="D57:M57" si="19">D25*D56</f>
        <v>0</v>
      </c>
      <c r="E57" s="47">
        <f t="shared" si="19"/>
        <v>0</v>
      </c>
      <c r="F57" s="47">
        <f t="shared" si="19"/>
        <v>0</v>
      </c>
      <c r="G57" s="47">
        <f t="shared" si="19"/>
        <v>0</v>
      </c>
      <c r="H57" s="47">
        <f t="shared" si="19"/>
        <v>0</v>
      </c>
      <c r="I57" s="47">
        <f t="shared" si="19"/>
        <v>0</v>
      </c>
      <c r="J57" s="47">
        <f t="shared" si="19"/>
        <v>0</v>
      </c>
      <c r="K57" s="47">
        <f t="shared" si="19"/>
        <v>0</v>
      </c>
      <c r="L57" s="47">
        <f t="shared" si="19"/>
        <v>0</v>
      </c>
      <c r="M57" s="47">
        <f t="shared" si="19"/>
        <v>0</v>
      </c>
    </row>
    <row r="58" spans="3:13" ht="9.9499999999999993" customHeight="1">
      <c r="C58" s="30"/>
      <c r="D58" s="22"/>
      <c r="E58" s="22"/>
      <c r="F58" s="22"/>
      <c r="G58" s="22"/>
      <c r="H58" s="22"/>
      <c r="I58" s="22"/>
      <c r="J58" s="22"/>
      <c r="K58" s="22"/>
      <c r="L58" s="22"/>
      <c r="M58" s="31"/>
    </row>
    <row r="59" spans="3:13">
      <c r="C59" s="12" t="s">
        <v>144</v>
      </c>
      <c r="D59" s="245">
        <v>0</v>
      </c>
      <c r="E59" s="245">
        <v>0</v>
      </c>
      <c r="F59" s="245">
        <v>0</v>
      </c>
      <c r="G59" s="245">
        <v>0</v>
      </c>
      <c r="H59" s="245">
        <v>0</v>
      </c>
      <c r="I59" s="245">
        <v>0</v>
      </c>
      <c r="J59" s="245">
        <v>0</v>
      </c>
      <c r="K59" s="245">
        <v>0</v>
      </c>
      <c r="L59" s="245">
        <v>0</v>
      </c>
      <c r="M59" s="245">
        <v>0</v>
      </c>
    </row>
    <row r="60" spans="3:13">
      <c r="C60" s="10" t="s">
        <v>148</v>
      </c>
      <c r="D60" s="47">
        <f t="shared" ref="D60:M60" si="20">D25*D59</f>
        <v>0</v>
      </c>
      <c r="E60" s="47">
        <f t="shared" si="20"/>
        <v>0</v>
      </c>
      <c r="F60" s="47">
        <f t="shared" si="20"/>
        <v>0</v>
      </c>
      <c r="G60" s="47">
        <f t="shared" si="20"/>
        <v>0</v>
      </c>
      <c r="H60" s="47">
        <f t="shared" si="20"/>
        <v>0</v>
      </c>
      <c r="I60" s="47">
        <f t="shared" si="20"/>
        <v>0</v>
      </c>
      <c r="J60" s="47">
        <f t="shared" si="20"/>
        <v>0</v>
      </c>
      <c r="K60" s="47">
        <f t="shared" si="20"/>
        <v>0</v>
      </c>
      <c r="L60" s="47">
        <f t="shared" si="20"/>
        <v>0</v>
      </c>
      <c r="M60" s="47">
        <f t="shared" si="20"/>
        <v>0</v>
      </c>
    </row>
  </sheetData>
  <sheetProtection algorithmName="SHA-512" hashValue="H+kro3kc3xxjKdZbuNB1CksdjuhqekRFvaKXXiGq3G5nTLJ71ScqsopVNs64tZozVZif8sVIutwAlbnklYUPGg==" saltValue="Q3/iYD0f+QdEoeAL7pngsQ==" spinCount="100000" sheet="1" objects="1" scenarios="1" formatCells="0" formatColumns="0" formatRows="0"/>
  <mergeCells count="2">
    <mergeCell ref="C3:M3"/>
    <mergeCell ref="C5:M5"/>
  </mergeCells>
  <conditionalFormatting sqref="D47:M47">
    <cfRule type="containsText" dxfId="101" priority="1" operator="containsText" text="ERROR">
      <formula>NOT(ISERROR(SEARCH("ERROR",D47)))</formula>
    </cfRule>
  </conditionalFormatting>
  <printOptions horizontalCentered="1"/>
  <pageMargins left="0.25" right="0.25" top="0.5" bottom="0.25" header="0.3" footer="0.3"/>
  <pageSetup scale="60" orientation="portrait" r:id="rId1"/>
  <ignoredErrors>
    <ignoredError sqref="D22:M24"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C2:R69"/>
  <sheetViews>
    <sheetView view="pageBreakPreview" zoomScale="80" zoomScaleSheetLayoutView="80" workbookViewId="0">
      <pane xSplit="4" ySplit="8" topLeftCell="E9" activePane="bottomRight" state="frozen"/>
      <selection pane="topRight"/>
      <selection pane="bottomLeft"/>
      <selection pane="bottomRight" activeCell="C3" sqref="C3:R3"/>
    </sheetView>
  </sheetViews>
  <sheetFormatPr defaultColWidth="10.28515625" defaultRowHeight="15"/>
  <cols>
    <col min="1" max="2" width="3" style="102" customWidth="1"/>
    <col min="3" max="3" width="36.42578125" style="102" customWidth="1"/>
    <col min="4" max="4" width="33.140625" style="102" bestFit="1" customWidth="1"/>
    <col min="5" max="5" width="14.42578125" style="102" bestFit="1" customWidth="1"/>
    <col min="6" max="10" width="14.28515625" style="102" customWidth="1"/>
    <col min="11" max="11" width="1.85546875" style="102" customWidth="1"/>
    <col min="12" max="12" width="34.140625" style="293" customWidth="1"/>
    <col min="13" max="13" width="3" style="102" customWidth="1"/>
    <col min="14" max="18" width="14.28515625" style="102" customWidth="1"/>
    <col min="19" max="16384" width="10.28515625" style="102"/>
  </cols>
  <sheetData>
    <row r="2" spans="3:18" ht="15.75" thickBot="1"/>
    <row r="3" spans="3:18" ht="24" thickBot="1">
      <c r="C3" s="369" t="str">
        <f>X_SchoolName</f>
        <v>XYZ Charter School</v>
      </c>
      <c r="D3" s="370"/>
      <c r="E3" s="370"/>
      <c r="F3" s="370"/>
      <c r="G3" s="370"/>
      <c r="H3" s="370"/>
      <c r="I3" s="370"/>
      <c r="J3" s="370"/>
      <c r="K3" s="370"/>
      <c r="L3" s="370"/>
      <c r="M3" s="370"/>
      <c r="N3" s="370"/>
      <c r="O3" s="370"/>
      <c r="P3" s="370"/>
      <c r="Q3" s="370"/>
      <c r="R3" s="371"/>
    </row>
    <row r="4" spans="3:18" ht="15" customHeight="1">
      <c r="C4" s="367" t="s">
        <v>193</v>
      </c>
      <c r="D4" s="382" t="s">
        <v>192</v>
      </c>
      <c r="E4" s="382" t="s">
        <v>191</v>
      </c>
      <c r="F4" s="372" t="s">
        <v>108</v>
      </c>
      <c r="G4" s="372"/>
      <c r="H4" s="372"/>
      <c r="I4" s="372"/>
      <c r="J4" s="373"/>
      <c r="K4" s="103"/>
      <c r="L4" s="374" t="s">
        <v>20</v>
      </c>
      <c r="N4" s="376" t="s">
        <v>190</v>
      </c>
      <c r="O4" s="377"/>
      <c r="P4" s="377"/>
      <c r="Q4" s="377"/>
      <c r="R4" s="378"/>
    </row>
    <row r="5" spans="3:18" ht="15" customHeight="1">
      <c r="C5" s="367"/>
      <c r="D5" s="382"/>
      <c r="E5" s="383"/>
      <c r="F5" s="104" t="s">
        <v>103</v>
      </c>
      <c r="G5" s="104" t="s">
        <v>104</v>
      </c>
      <c r="H5" s="104" t="s">
        <v>105</v>
      </c>
      <c r="I5" s="104" t="s">
        <v>106</v>
      </c>
      <c r="J5" s="104" t="s">
        <v>107</v>
      </c>
      <c r="K5" s="103"/>
      <c r="L5" s="374"/>
      <c r="N5" s="105" t="s">
        <v>103</v>
      </c>
      <c r="O5" s="106" t="s">
        <v>104</v>
      </c>
      <c r="P5" s="106" t="s">
        <v>105</v>
      </c>
      <c r="Q5" s="106" t="s">
        <v>106</v>
      </c>
      <c r="R5" s="107" t="s">
        <v>107</v>
      </c>
    </row>
    <row r="6" spans="3:18" ht="15.75" thickBot="1">
      <c r="C6" s="367"/>
      <c r="D6" s="382"/>
      <c r="E6" s="383"/>
      <c r="F6" s="108" t="str">
        <f>X_YearOne</f>
        <v>2019-20</v>
      </c>
      <c r="G6" s="108" t="str">
        <f>VLOOKUP(2,X_Years,3,FALSE)&amp;"-"&amp;RIGHT(VLOOKUP(2,X_Years,4,FALSE),2)</f>
        <v>2020-21</v>
      </c>
      <c r="H6" s="108" t="str">
        <f>VLOOKUP(2,X_Years,4,FALSE)&amp;"-"&amp;RIGHT(VLOOKUP(2,X_Years,5,FALSE),2)</f>
        <v>2021-22</v>
      </c>
      <c r="I6" s="108" t="str">
        <f>VLOOKUP(2,X_Years,5,FALSE)&amp;"-"&amp;RIGHT(VLOOKUP(2,X_Years,6,FALSE),2)</f>
        <v>2022-23</v>
      </c>
      <c r="J6" s="109" t="str">
        <f>VLOOKUP(2,X_Years,6,FALSE)&amp;"-"&amp;RIGHT(VLOOKUP(2,X_Years,7,FALSE),2)</f>
        <v>2023-24</v>
      </c>
      <c r="K6" s="103"/>
      <c r="L6" s="374"/>
      <c r="N6" s="110" t="str">
        <f>F6</f>
        <v>2019-20</v>
      </c>
      <c r="O6" s="111" t="str">
        <f>G6</f>
        <v>2020-21</v>
      </c>
      <c r="P6" s="111" t="str">
        <f>H6</f>
        <v>2021-22</v>
      </c>
      <c r="Q6" s="111" t="str">
        <f>I6</f>
        <v>2022-23</v>
      </c>
      <c r="R6" s="112" t="str">
        <f>J6</f>
        <v>2023-24</v>
      </c>
    </row>
    <row r="7" spans="3:18" ht="15.75" thickTop="1">
      <c r="C7" s="367"/>
      <c r="D7" s="382"/>
      <c r="E7" s="383"/>
      <c r="F7" s="113"/>
      <c r="G7" s="114"/>
      <c r="H7" s="114"/>
      <c r="I7" s="114"/>
      <c r="J7" s="115"/>
      <c r="K7" s="103"/>
      <c r="L7" s="374"/>
      <c r="N7" s="379" t="s">
        <v>109</v>
      </c>
      <c r="O7" s="380"/>
      <c r="P7" s="380"/>
      <c r="Q7" s="380"/>
      <c r="R7" s="381"/>
    </row>
    <row r="8" spans="3:18" ht="15.75" thickBot="1">
      <c r="C8" s="368"/>
      <c r="D8" s="385"/>
      <c r="E8" s="384"/>
      <c r="F8" s="116"/>
      <c r="G8" s="117"/>
      <c r="H8" s="117"/>
      <c r="I8" s="117"/>
      <c r="J8" s="118"/>
      <c r="K8" s="103"/>
      <c r="L8" s="375"/>
      <c r="N8" s="152">
        <v>0</v>
      </c>
      <c r="O8" s="153">
        <v>0</v>
      </c>
      <c r="P8" s="153">
        <v>0</v>
      </c>
      <c r="Q8" s="153">
        <v>0</v>
      </c>
      <c r="R8" s="154">
        <v>0</v>
      </c>
    </row>
    <row r="9" spans="3:18" ht="9.9499999999999993" customHeight="1" thickTop="1">
      <c r="C9" s="119"/>
      <c r="D9" s="120"/>
      <c r="E9" s="120"/>
      <c r="F9" s="120"/>
      <c r="G9" s="120"/>
      <c r="H9" s="120"/>
      <c r="I9" s="120"/>
      <c r="J9" s="121"/>
      <c r="K9" s="103"/>
      <c r="L9" s="122"/>
      <c r="N9" s="123"/>
      <c r="O9" s="124"/>
      <c r="P9" s="124"/>
      <c r="Q9" s="124"/>
      <c r="R9" s="125"/>
    </row>
    <row r="10" spans="3:18" ht="15" customHeight="1">
      <c r="C10" s="143"/>
      <c r="D10" s="144"/>
      <c r="E10" s="145"/>
      <c r="F10" s="146">
        <v>1</v>
      </c>
      <c r="G10" s="146">
        <v>0</v>
      </c>
      <c r="H10" s="146">
        <v>0</v>
      </c>
      <c r="I10" s="146">
        <v>0</v>
      </c>
      <c r="J10" s="147">
        <v>0</v>
      </c>
      <c r="K10" s="103"/>
      <c r="L10" s="155"/>
      <c r="N10" s="126">
        <f>SUM(F10*E10)*$N$8+SUM((F10*E10))</f>
        <v>0</v>
      </c>
      <c r="O10" s="127">
        <f t="shared" ref="O10:R11" si="0">SUM(G10-F10)*$E10+SUM(N10*O$8)+N10</f>
        <v>0</v>
      </c>
      <c r="P10" s="127">
        <f t="shared" si="0"/>
        <v>0</v>
      </c>
      <c r="Q10" s="127">
        <f t="shared" si="0"/>
        <v>0</v>
      </c>
      <c r="R10" s="128">
        <f t="shared" si="0"/>
        <v>0</v>
      </c>
    </row>
    <row r="11" spans="3:18" ht="15" customHeight="1">
      <c r="C11" s="143"/>
      <c r="D11" s="144"/>
      <c r="E11" s="145"/>
      <c r="F11" s="146">
        <v>0</v>
      </c>
      <c r="G11" s="146">
        <v>0</v>
      </c>
      <c r="H11" s="146">
        <v>0</v>
      </c>
      <c r="I11" s="146">
        <v>0</v>
      </c>
      <c r="J11" s="147">
        <v>0</v>
      </c>
      <c r="K11" s="103"/>
      <c r="L11" s="155"/>
      <c r="N11" s="126">
        <f>SUM(F11*E11)*$N$8+SUM((F11*E11))</f>
        <v>0</v>
      </c>
      <c r="O11" s="127">
        <f t="shared" si="0"/>
        <v>0</v>
      </c>
      <c r="P11" s="127">
        <f t="shared" si="0"/>
        <v>0</v>
      </c>
      <c r="Q11" s="127">
        <f t="shared" si="0"/>
        <v>0</v>
      </c>
      <c r="R11" s="128">
        <f t="shared" si="0"/>
        <v>0</v>
      </c>
    </row>
    <row r="12" spans="3:18" ht="15" customHeight="1">
      <c r="C12" s="143"/>
      <c r="D12" s="144"/>
      <c r="E12" s="145"/>
      <c r="F12" s="146">
        <v>0</v>
      </c>
      <c r="G12" s="146">
        <v>0</v>
      </c>
      <c r="H12" s="146">
        <v>0</v>
      </c>
      <c r="I12" s="146">
        <v>0</v>
      </c>
      <c r="J12" s="147">
        <v>0</v>
      </c>
      <c r="K12" s="103"/>
      <c r="L12" s="155"/>
      <c r="N12" s="126">
        <f t="shared" ref="N12:N67" si="1">SUM(F12*E12)*$N$8+SUM((F12*E12))</f>
        <v>0</v>
      </c>
      <c r="O12" s="127">
        <f t="shared" ref="O12:O43" si="2">SUM(G12-F12)*$E12+SUM(N12*O$8)+N12</f>
        <v>0</v>
      </c>
      <c r="P12" s="127">
        <f t="shared" ref="P12:P43" si="3">SUM(H12-G12)*$E12+SUM(O12*P$8)+O12</f>
        <v>0</v>
      </c>
      <c r="Q12" s="127">
        <f t="shared" ref="Q12:Q43" si="4">SUM(I12-H12)*$E12+SUM(P12*Q$8)+P12</f>
        <v>0</v>
      </c>
      <c r="R12" s="128">
        <f t="shared" ref="R12:R43" si="5">SUM(J12-I12)*$E12+SUM(Q12*R$8)+Q12</f>
        <v>0</v>
      </c>
    </row>
    <row r="13" spans="3:18" ht="15" customHeight="1">
      <c r="C13" s="143"/>
      <c r="D13" s="144"/>
      <c r="E13" s="145"/>
      <c r="F13" s="146">
        <v>0</v>
      </c>
      <c r="G13" s="146">
        <v>0</v>
      </c>
      <c r="H13" s="146">
        <v>0</v>
      </c>
      <c r="I13" s="146">
        <v>0</v>
      </c>
      <c r="J13" s="147">
        <v>0</v>
      </c>
      <c r="K13" s="103"/>
      <c r="L13" s="155"/>
      <c r="N13" s="126">
        <f t="shared" si="1"/>
        <v>0</v>
      </c>
      <c r="O13" s="127">
        <f t="shared" si="2"/>
        <v>0</v>
      </c>
      <c r="P13" s="127">
        <f t="shared" si="3"/>
        <v>0</v>
      </c>
      <c r="Q13" s="127">
        <f t="shared" si="4"/>
        <v>0</v>
      </c>
      <c r="R13" s="128">
        <f t="shared" si="5"/>
        <v>0</v>
      </c>
    </row>
    <row r="14" spans="3:18" ht="15" customHeight="1">
      <c r="C14" s="143"/>
      <c r="D14" s="144"/>
      <c r="E14" s="145"/>
      <c r="F14" s="146">
        <v>0</v>
      </c>
      <c r="G14" s="146">
        <v>0</v>
      </c>
      <c r="H14" s="146">
        <v>0</v>
      </c>
      <c r="I14" s="146">
        <v>0</v>
      </c>
      <c r="J14" s="147">
        <v>0</v>
      </c>
      <c r="K14" s="103"/>
      <c r="L14" s="155"/>
      <c r="N14" s="126">
        <f t="shared" si="1"/>
        <v>0</v>
      </c>
      <c r="O14" s="127">
        <f t="shared" si="2"/>
        <v>0</v>
      </c>
      <c r="P14" s="127">
        <f t="shared" si="3"/>
        <v>0</v>
      </c>
      <c r="Q14" s="127">
        <f t="shared" si="4"/>
        <v>0</v>
      </c>
      <c r="R14" s="128">
        <f t="shared" si="5"/>
        <v>0</v>
      </c>
    </row>
    <row r="15" spans="3:18" ht="15" customHeight="1">
      <c r="C15" s="143"/>
      <c r="D15" s="144"/>
      <c r="E15" s="145"/>
      <c r="F15" s="146">
        <v>0</v>
      </c>
      <c r="G15" s="146">
        <v>0</v>
      </c>
      <c r="H15" s="146">
        <v>0</v>
      </c>
      <c r="I15" s="146">
        <v>0</v>
      </c>
      <c r="J15" s="147">
        <v>0</v>
      </c>
      <c r="K15" s="103"/>
      <c r="L15" s="155"/>
      <c r="N15" s="126">
        <f t="shared" si="1"/>
        <v>0</v>
      </c>
      <c r="O15" s="127">
        <f t="shared" si="2"/>
        <v>0</v>
      </c>
      <c r="P15" s="127">
        <f t="shared" si="3"/>
        <v>0</v>
      </c>
      <c r="Q15" s="127">
        <f t="shared" si="4"/>
        <v>0</v>
      </c>
      <c r="R15" s="128">
        <f t="shared" si="5"/>
        <v>0</v>
      </c>
    </row>
    <row r="16" spans="3:18" ht="15" customHeight="1">
      <c r="C16" s="143"/>
      <c r="D16" s="144"/>
      <c r="E16" s="145"/>
      <c r="F16" s="146">
        <v>0</v>
      </c>
      <c r="G16" s="146">
        <v>0</v>
      </c>
      <c r="H16" s="146">
        <v>0</v>
      </c>
      <c r="I16" s="146">
        <v>0</v>
      </c>
      <c r="J16" s="147">
        <v>0</v>
      </c>
      <c r="K16" s="103"/>
      <c r="L16" s="155"/>
      <c r="N16" s="126">
        <f t="shared" si="1"/>
        <v>0</v>
      </c>
      <c r="O16" s="127">
        <f t="shared" si="2"/>
        <v>0</v>
      </c>
      <c r="P16" s="127">
        <f t="shared" si="3"/>
        <v>0</v>
      </c>
      <c r="Q16" s="127">
        <f t="shared" si="4"/>
        <v>0</v>
      </c>
      <c r="R16" s="128">
        <f t="shared" si="5"/>
        <v>0</v>
      </c>
    </row>
    <row r="17" spans="3:18" ht="15" customHeight="1">
      <c r="C17" s="143"/>
      <c r="D17" s="144"/>
      <c r="E17" s="145"/>
      <c r="F17" s="146">
        <v>0</v>
      </c>
      <c r="G17" s="146">
        <v>0</v>
      </c>
      <c r="H17" s="146">
        <v>0</v>
      </c>
      <c r="I17" s="146">
        <v>0</v>
      </c>
      <c r="J17" s="147">
        <v>0</v>
      </c>
      <c r="K17" s="103">
        <v>75000</v>
      </c>
      <c r="L17" s="155"/>
      <c r="N17" s="126">
        <f t="shared" si="1"/>
        <v>0</v>
      </c>
      <c r="O17" s="127">
        <f t="shared" si="2"/>
        <v>0</v>
      </c>
      <c r="P17" s="127">
        <f t="shared" si="3"/>
        <v>0</v>
      </c>
      <c r="Q17" s="127">
        <f t="shared" si="4"/>
        <v>0</v>
      </c>
      <c r="R17" s="128">
        <f t="shared" si="5"/>
        <v>0</v>
      </c>
    </row>
    <row r="18" spans="3:18" ht="15" customHeight="1">
      <c r="C18" s="143"/>
      <c r="D18" s="144"/>
      <c r="E18" s="145"/>
      <c r="F18" s="146">
        <v>0</v>
      </c>
      <c r="G18" s="146">
        <v>0</v>
      </c>
      <c r="H18" s="146">
        <v>0</v>
      </c>
      <c r="I18" s="146">
        <v>0</v>
      </c>
      <c r="J18" s="147">
        <v>0</v>
      </c>
      <c r="K18" s="103"/>
      <c r="L18" s="155"/>
      <c r="N18" s="126">
        <f t="shared" si="1"/>
        <v>0</v>
      </c>
      <c r="O18" s="127">
        <f t="shared" si="2"/>
        <v>0</v>
      </c>
      <c r="P18" s="127">
        <f t="shared" si="3"/>
        <v>0</v>
      </c>
      <c r="Q18" s="127">
        <f t="shared" si="4"/>
        <v>0</v>
      </c>
      <c r="R18" s="128">
        <f t="shared" si="5"/>
        <v>0</v>
      </c>
    </row>
    <row r="19" spans="3:18" ht="15" customHeight="1">
      <c r="C19" s="143"/>
      <c r="D19" s="144"/>
      <c r="E19" s="145"/>
      <c r="F19" s="146">
        <v>0</v>
      </c>
      <c r="G19" s="146">
        <v>0</v>
      </c>
      <c r="H19" s="146">
        <v>0</v>
      </c>
      <c r="I19" s="146">
        <v>0</v>
      </c>
      <c r="J19" s="147">
        <v>0</v>
      </c>
      <c r="K19" s="103"/>
      <c r="L19" s="155"/>
      <c r="N19" s="126">
        <f t="shared" si="1"/>
        <v>0</v>
      </c>
      <c r="O19" s="127">
        <f t="shared" si="2"/>
        <v>0</v>
      </c>
      <c r="P19" s="127">
        <f t="shared" si="3"/>
        <v>0</v>
      </c>
      <c r="Q19" s="127">
        <f t="shared" si="4"/>
        <v>0</v>
      </c>
      <c r="R19" s="128">
        <f t="shared" si="5"/>
        <v>0</v>
      </c>
    </row>
    <row r="20" spans="3:18" ht="15" customHeight="1">
      <c r="C20" s="143"/>
      <c r="D20" s="144"/>
      <c r="E20" s="145"/>
      <c r="F20" s="146">
        <v>0</v>
      </c>
      <c r="G20" s="146">
        <v>0</v>
      </c>
      <c r="H20" s="146">
        <v>0</v>
      </c>
      <c r="I20" s="146">
        <v>0</v>
      </c>
      <c r="J20" s="147">
        <v>0</v>
      </c>
      <c r="K20" s="103"/>
      <c r="L20" s="155"/>
      <c r="N20" s="126">
        <f t="shared" si="1"/>
        <v>0</v>
      </c>
      <c r="O20" s="127">
        <f t="shared" si="2"/>
        <v>0</v>
      </c>
      <c r="P20" s="127">
        <f t="shared" si="3"/>
        <v>0</v>
      </c>
      <c r="Q20" s="127">
        <f t="shared" si="4"/>
        <v>0</v>
      </c>
      <c r="R20" s="128">
        <f t="shared" si="5"/>
        <v>0</v>
      </c>
    </row>
    <row r="21" spans="3:18" ht="15" customHeight="1">
      <c r="C21" s="143"/>
      <c r="D21" s="144"/>
      <c r="E21" s="145"/>
      <c r="F21" s="146">
        <v>0</v>
      </c>
      <c r="G21" s="146">
        <v>0</v>
      </c>
      <c r="H21" s="146">
        <v>0</v>
      </c>
      <c r="I21" s="146">
        <v>0</v>
      </c>
      <c r="J21" s="147">
        <v>0</v>
      </c>
      <c r="K21" s="103"/>
      <c r="L21" s="155"/>
      <c r="N21" s="126">
        <f t="shared" si="1"/>
        <v>0</v>
      </c>
      <c r="O21" s="127">
        <f t="shared" si="2"/>
        <v>0</v>
      </c>
      <c r="P21" s="127">
        <f t="shared" si="3"/>
        <v>0</v>
      </c>
      <c r="Q21" s="127">
        <f t="shared" si="4"/>
        <v>0</v>
      </c>
      <c r="R21" s="128">
        <f t="shared" si="5"/>
        <v>0</v>
      </c>
    </row>
    <row r="22" spans="3:18" ht="15" customHeight="1">
      <c r="C22" s="143"/>
      <c r="D22" s="144"/>
      <c r="E22" s="145"/>
      <c r="F22" s="146">
        <v>0</v>
      </c>
      <c r="G22" s="146">
        <v>0</v>
      </c>
      <c r="H22" s="146">
        <v>0</v>
      </c>
      <c r="I22" s="146">
        <v>0</v>
      </c>
      <c r="J22" s="147">
        <v>0</v>
      </c>
      <c r="K22" s="103"/>
      <c r="L22" s="155"/>
      <c r="N22" s="126">
        <f t="shared" si="1"/>
        <v>0</v>
      </c>
      <c r="O22" s="127">
        <f t="shared" si="2"/>
        <v>0</v>
      </c>
      <c r="P22" s="127">
        <f t="shared" si="3"/>
        <v>0</v>
      </c>
      <c r="Q22" s="127">
        <f t="shared" si="4"/>
        <v>0</v>
      </c>
      <c r="R22" s="128">
        <f t="shared" si="5"/>
        <v>0</v>
      </c>
    </row>
    <row r="23" spans="3:18" ht="15" customHeight="1">
      <c r="C23" s="143"/>
      <c r="D23" s="144"/>
      <c r="E23" s="145"/>
      <c r="F23" s="146">
        <v>0</v>
      </c>
      <c r="G23" s="146">
        <v>0</v>
      </c>
      <c r="H23" s="146">
        <v>0</v>
      </c>
      <c r="I23" s="146">
        <v>0</v>
      </c>
      <c r="J23" s="147">
        <v>0</v>
      </c>
      <c r="K23" s="103"/>
      <c r="L23" s="156"/>
      <c r="N23" s="126">
        <f t="shared" si="1"/>
        <v>0</v>
      </c>
      <c r="O23" s="127">
        <f t="shared" si="2"/>
        <v>0</v>
      </c>
      <c r="P23" s="127">
        <f t="shared" si="3"/>
        <v>0</v>
      </c>
      <c r="Q23" s="127">
        <f t="shared" si="4"/>
        <v>0</v>
      </c>
      <c r="R23" s="128">
        <f t="shared" si="5"/>
        <v>0</v>
      </c>
    </row>
    <row r="24" spans="3:18" ht="15" customHeight="1">
      <c r="C24" s="143"/>
      <c r="D24" s="144"/>
      <c r="E24" s="145"/>
      <c r="F24" s="146">
        <v>0</v>
      </c>
      <c r="G24" s="146">
        <v>0</v>
      </c>
      <c r="H24" s="146">
        <v>0</v>
      </c>
      <c r="I24" s="146">
        <v>0</v>
      </c>
      <c r="J24" s="147">
        <v>0</v>
      </c>
      <c r="K24" s="103"/>
      <c r="L24" s="156"/>
      <c r="M24" s="129"/>
      <c r="N24" s="126">
        <f t="shared" si="1"/>
        <v>0</v>
      </c>
      <c r="O24" s="127">
        <f t="shared" si="2"/>
        <v>0</v>
      </c>
      <c r="P24" s="127">
        <f t="shared" si="3"/>
        <v>0</v>
      </c>
      <c r="Q24" s="127">
        <f t="shared" si="4"/>
        <v>0</v>
      </c>
      <c r="R24" s="128">
        <f t="shared" si="5"/>
        <v>0</v>
      </c>
    </row>
    <row r="25" spans="3:18" ht="15" customHeight="1">
      <c r="C25" s="143"/>
      <c r="D25" s="144"/>
      <c r="E25" s="145"/>
      <c r="F25" s="146">
        <v>0</v>
      </c>
      <c r="G25" s="146">
        <v>0</v>
      </c>
      <c r="H25" s="146">
        <v>0</v>
      </c>
      <c r="I25" s="146">
        <v>0</v>
      </c>
      <c r="J25" s="147">
        <v>0</v>
      </c>
      <c r="K25" s="103"/>
      <c r="L25" s="156"/>
      <c r="N25" s="126">
        <f t="shared" si="1"/>
        <v>0</v>
      </c>
      <c r="O25" s="127">
        <f t="shared" si="2"/>
        <v>0</v>
      </c>
      <c r="P25" s="127">
        <f t="shared" si="3"/>
        <v>0</v>
      </c>
      <c r="Q25" s="127">
        <f t="shared" si="4"/>
        <v>0</v>
      </c>
      <c r="R25" s="128">
        <f t="shared" si="5"/>
        <v>0</v>
      </c>
    </row>
    <row r="26" spans="3:18" ht="15" customHeight="1">
      <c r="C26" s="143"/>
      <c r="D26" s="144"/>
      <c r="E26" s="145"/>
      <c r="F26" s="146">
        <v>0</v>
      </c>
      <c r="G26" s="146">
        <v>0</v>
      </c>
      <c r="H26" s="146">
        <v>0</v>
      </c>
      <c r="I26" s="146">
        <v>0</v>
      </c>
      <c r="J26" s="147">
        <v>0</v>
      </c>
      <c r="K26" s="103"/>
      <c r="L26" s="156"/>
      <c r="N26" s="126">
        <f t="shared" si="1"/>
        <v>0</v>
      </c>
      <c r="O26" s="127">
        <f t="shared" si="2"/>
        <v>0</v>
      </c>
      <c r="P26" s="127">
        <f t="shared" si="3"/>
        <v>0</v>
      </c>
      <c r="Q26" s="127">
        <f t="shared" si="4"/>
        <v>0</v>
      </c>
      <c r="R26" s="128">
        <f t="shared" si="5"/>
        <v>0</v>
      </c>
    </row>
    <row r="27" spans="3:18" ht="15" customHeight="1">
      <c r="C27" s="143"/>
      <c r="D27" s="144"/>
      <c r="E27" s="145"/>
      <c r="F27" s="146">
        <v>0</v>
      </c>
      <c r="G27" s="146">
        <v>0</v>
      </c>
      <c r="H27" s="146">
        <v>0</v>
      </c>
      <c r="I27" s="146">
        <v>0</v>
      </c>
      <c r="J27" s="147">
        <v>0</v>
      </c>
      <c r="K27" s="103"/>
      <c r="L27" s="156"/>
      <c r="N27" s="126">
        <f t="shared" si="1"/>
        <v>0</v>
      </c>
      <c r="O27" s="127">
        <f t="shared" si="2"/>
        <v>0</v>
      </c>
      <c r="P27" s="127">
        <f t="shared" si="3"/>
        <v>0</v>
      </c>
      <c r="Q27" s="127">
        <f t="shared" si="4"/>
        <v>0</v>
      </c>
      <c r="R27" s="128">
        <f t="shared" si="5"/>
        <v>0</v>
      </c>
    </row>
    <row r="28" spans="3:18" ht="15" customHeight="1">
      <c r="C28" s="143"/>
      <c r="D28" s="144"/>
      <c r="E28" s="145"/>
      <c r="F28" s="146">
        <v>0</v>
      </c>
      <c r="G28" s="146">
        <v>0</v>
      </c>
      <c r="H28" s="146">
        <v>0</v>
      </c>
      <c r="I28" s="146">
        <v>0</v>
      </c>
      <c r="J28" s="147">
        <v>0</v>
      </c>
      <c r="K28" s="103"/>
      <c r="L28" s="155"/>
      <c r="N28" s="126">
        <f t="shared" si="1"/>
        <v>0</v>
      </c>
      <c r="O28" s="127">
        <f t="shared" si="2"/>
        <v>0</v>
      </c>
      <c r="P28" s="127">
        <f t="shared" si="3"/>
        <v>0</v>
      </c>
      <c r="Q28" s="127">
        <f t="shared" si="4"/>
        <v>0</v>
      </c>
      <c r="R28" s="128">
        <f t="shared" si="5"/>
        <v>0</v>
      </c>
    </row>
    <row r="29" spans="3:18" ht="15.75">
      <c r="C29" s="143"/>
      <c r="D29" s="144"/>
      <c r="E29" s="145"/>
      <c r="F29" s="146">
        <v>0</v>
      </c>
      <c r="G29" s="146">
        <v>0</v>
      </c>
      <c r="H29" s="146">
        <v>0</v>
      </c>
      <c r="I29" s="146">
        <v>0</v>
      </c>
      <c r="J29" s="147">
        <v>0</v>
      </c>
      <c r="K29" s="103"/>
      <c r="L29" s="156"/>
      <c r="N29" s="126">
        <f t="shared" si="1"/>
        <v>0</v>
      </c>
      <c r="O29" s="127">
        <f t="shared" si="2"/>
        <v>0</v>
      </c>
      <c r="P29" s="127">
        <f t="shared" si="3"/>
        <v>0</v>
      </c>
      <c r="Q29" s="127">
        <f t="shared" si="4"/>
        <v>0</v>
      </c>
      <c r="R29" s="128">
        <f t="shared" si="5"/>
        <v>0</v>
      </c>
    </row>
    <row r="30" spans="3:18" ht="15" customHeight="1">
      <c r="C30" s="143"/>
      <c r="D30" s="144"/>
      <c r="E30" s="145"/>
      <c r="F30" s="146">
        <v>0</v>
      </c>
      <c r="G30" s="146">
        <v>0</v>
      </c>
      <c r="H30" s="146">
        <v>0</v>
      </c>
      <c r="I30" s="146">
        <v>0</v>
      </c>
      <c r="J30" s="147">
        <v>0</v>
      </c>
      <c r="K30" s="103"/>
      <c r="L30" s="155"/>
      <c r="N30" s="126">
        <f t="shared" si="1"/>
        <v>0</v>
      </c>
      <c r="O30" s="127">
        <f t="shared" si="2"/>
        <v>0</v>
      </c>
      <c r="P30" s="127">
        <f t="shared" si="3"/>
        <v>0</v>
      </c>
      <c r="Q30" s="127">
        <f t="shared" si="4"/>
        <v>0</v>
      </c>
      <c r="R30" s="128">
        <f t="shared" si="5"/>
        <v>0</v>
      </c>
    </row>
    <row r="31" spans="3:18" ht="15" customHeight="1">
      <c r="C31" s="143"/>
      <c r="D31" s="144"/>
      <c r="E31" s="145"/>
      <c r="F31" s="146">
        <v>0</v>
      </c>
      <c r="G31" s="146">
        <v>0</v>
      </c>
      <c r="H31" s="146">
        <v>0</v>
      </c>
      <c r="I31" s="146">
        <v>0</v>
      </c>
      <c r="J31" s="147">
        <v>0</v>
      </c>
      <c r="K31" s="103"/>
      <c r="L31" s="155"/>
      <c r="N31" s="126">
        <f t="shared" si="1"/>
        <v>0</v>
      </c>
      <c r="O31" s="127">
        <f t="shared" si="2"/>
        <v>0</v>
      </c>
      <c r="P31" s="127">
        <f t="shared" si="3"/>
        <v>0</v>
      </c>
      <c r="Q31" s="127">
        <f t="shared" si="4"/>
        <v>0</v>
      </c>
      <c r="R31" s="128">
        <f t="shared" si="5"/>
        <v>0</v>
      </c>
    </row>
    <row r="32" spans="3:18" ht="15" customHeight="1">
      <c r="C32" s="143"/>
      <c r="D32" s="144"/>
      <c r="E32" s="145"/>
      <c r="F32" s="146">
        <v>0</v>
      </c>
      <c r="G32" s="146">
        <v>0</v>
      </c>
      <c r="H32" s="146">
        <v>0</v>
      </c>
      <c r="I32" s="146">
        <v>0</v>
      </c>
      <c r="J32" s="147">
        <v>0</v>
      </c>
      <c r="K32" s="103"/>
      <c r="L32" s="155"/>
      <c r="N32" s="126">
        <f t="shared" si="1"/>
        <v>0</v>
      </c>
      <c r="O32" s="127">
        <f t="shared" si="2"/>
        <v>0</v>
      </c>
      <c r="P32" s="127">
        <f t="shared" si="3"/>
        <v>0</v>
      </c>
      <c r="Q32" s="127">
        <f t="shared" si="4"/>
        <v>0</v>
      </c>
      <c r="R32" s="128">
        <f t="shared" si="5"/>
        <v>0</v>
      </c>
    </row>
    <row r="33" spans="3:18" ht="15" customHeight="1">
      <c r="C33" s="143"/>
      <c r="D33" s="144"/>
      <c r="E33" s="145"/>
      <c r="F33" s="146">
        <v>0</v>
      </c>
      <c r="G33" s="146">
        <v>0</v>
      </c>
      <c r="H33" s="146">
        <v>0</v>
      </c>
      <c r="I33" s="146">
        <v>0</v>
      </c>
      <c r="J33" s="147">
        <v>0</v>
      </c>
      <c r="K33" s="103"/>
      <c r="L33" s="156"/>
      <c r="N33" s="126">
        <f t="shared" si="1"/>
        <v>0</v>
      </c>
      <c r="O33" s="127">
        <f t="shared" si="2"/>
        <v>0</v>
      </c>
      <c r="P33" s="127">
        <f t="shared" si="3"/>
        <v>0</v>
      </c>
      <c r="Q33" s="127">
        <f t="shared" si="4"/>
        <v>0</v>
      </c>
      <c r="R33" s="128">
        <f t="shared" si="5"/>
        <v>0</v>
      </c>
    </row>
    <row r="34" spans="3:18" ht="15" customHeight="1">
      <c r="C34" s="143"/>
      <c r="D34" s="144"/>
      <c r="E34" s="145"/>
      <c r="F34" s="146">
        <v>0</v>
      </c>
      <c r="G34" s="146">
        <v>0</v>
      </c>
      <c r="H34" s="146">
        <v>0</v>
      </c>
      <c r="I34" s="146">
        <v>0</v>
      </c>
      <c r="J34" s="147">
        <v>0</v>
      </c>
      <c r="K34" s="103"/>
      <c r="L34" s="156"/>
      <c r="N34" s="126">
        <f t="shared" si="1"/>
        <v>0</v>
      </c>
      <c r="O34" s="127">
        <f t="shared" si="2"/>
        <v>0</v>
      </c>
      <c r="P34" s="127">
        <f t="shared" si="3"/>
        <v>0</v>
      </c>
      <c r="Q34" s="127">
        <f t="shared" si="4"/>
        <v>0</v>
      </c>
      <c r="R34" s="128">
        <f t="shared" si="5"/>
        <v>0</v>
      </c>
    </row>
    <row r="35" spans="3:18" ht="15" customHeight="1">
      <c r="C35" s="143"/>
      <c r="D35" s="144"/>
      <c r="E35" s="145"/>
      <c r="F35" s="146">
        <v>0</v>
      </c>
      <c r="G35" s="146">
        <v>0</v>
      </c>
      <c r="H35" s="146">
        <v>0</v>
      </c>
      <c r="I35" s="146">
        <v>0</v>
      </c>
      <c r="J35" s="147">
        <v>0</v>
      </c>
      <c r="K35" s="103"/>
      <c r="L35" s="156"/>
      <c r="N35" s="126">
        <f t="shared" si="1"/>
        <v>0</v>
      </c>
      <c r="O35" s="127">
        <f t="shared" si="2"/>
        <v>0</v>
      </c>
      <c r="P35" s="127">
        <f t="shared" si="3"/>
        <v>0</v>
      </c>
      <c r="Q35" s="127">
        <f t="shared" si="4"/>
        <v>0</v>
      </c>
      <c r="R35" s="128">
        <f t="shared" si="5"/>
        <v>0</v>
      </c>
    </row>
    <row r="36" spans="3:18" ht="15" customHeight="1">
      <c r="C36" s="143"/>
      <c r="D36" s="144"/>
      <c r="E36" s="145"/>
      <c r="F36" s="146">
        <v>0</v>
      </c>
      <c r="G36" s="146">
        <v>0</v>
      </c>
      <c r="H36" s="146">
        <v>0</v>
      </c>
      <c r="I36" s="146">
        <v>0</v>
      </c>
      <c r="J36" s="147">
        <v>0</v>
      </c>
      <c r="K36" s="103"/>
      <c r="L36" s="156"/>
      <c r="N36" s="126">
        <f t="shared" si="1"/>
        <v>0</v>
      </c>
      <c r="O36" s="127">
        <f t="shared" si="2"/>
        <v>0</v>
      </c>
      <c r="P36" s="127">
        <f t="shared" si="3"/>
        <v>0</v>
      </c>
      <c r="Q36" s="127">
        <f t="shared" si="4"/>
        <v>0</v>
      </c>
      <c r="R36" s="128">
        <f t="shared" si="5"/>
        <v>0</v>
      </c>
    </row>
    <row r="37" spans="3:18" ht="15" customHeight="1">
      <c r="C37" s="143"/>
      <c r="D37" s="144"/>
      <c r="E37" s="145"/>
      <c r="F37" s="146">
        <v>0</v>
      </c>
      <c r="G37" s="146">
        <v>0</v>
      </c>
      <c r="H37" s="146">
        <v>0</v>
      </c>
      <c r="I37" s="146">
        <v>0</v>
      </c>
      <c r="J37" s="147">
        <v>0</v>
      </c>
      <c r="K37" s="103"/>
      <c r="L37" s="156"/>
      <c r="N37" s="126">
        <f t="shared" si="1"/>
        <v>0</v>
      </c>
      <c r="O37" s="127">
        <f t="shared" si="2"/>
        <v>0</v>
      </c>
      <c r="P37" s="127">
        <f t="shared" si="3"/>
        <v>0</v>
      </c>
      <c r="Q37" s="127">
        <f t="shared" si="4"/>
        <v>0</v>
      </c>
      <c r="R37" s="128">
        <f t="shared" si="5"/>
        <v>0</v>
      </c>
    </row>
    <row r="38" spans="3:18" ht="15" customHeight="1">
      <c r="C38" s="143"/>
      <c r="D38" s="144"/>
      <c r="E38" s="145"/>
      <c r="F38" s="146">
        <v>0</v>
      </c>
      <c r="G38" s="146">
        <v>0</v>
      </c>
      <c r="H38" s="146">
        <v>0</v>
      </c>
      <c r="I38" s="146">
        <v>0</v>
      </c>
      <c r="J38" s="147">
        <v>0</v>
      </c>
      <c r="K38" s="103"/>
      <c r="L38" s="156"/>
      <c r="N38" s="126">
        <f t="shared" si="1"/>
        <v>0</v>
      </c>
      <c r="O38" s="127">
        <f t="shared" si="2"/>
        <v>0</v>
      </c>
      <c r="P38" s="127">
        <f t="shared" si="3"/>
        <v>0</v>
      </c>
      <c r="Q38" s="127">
        <f t="shared" si="4"/>
        <v>0</v>
      </c>
      <c r="R38" s="128">
        <f t="shared" si="5"/>
        <v>0</v>
      </c>
    </row>
    <row r="39" spans="3:18" ht="15" customHeight="1">
      <c r="C39" s="143"/>
      <c r="D39" s="144"/>
      <c r="E39" s="145"/>
      <c r="F39" s="146">
        <v>0</v>
      </c>
      <c r="G39" s="146">
        <v>0</v>
      </c>
      <c r="H39" s="146">
        <v>0</v>
      </c>
      <c r="I39" s="146">
        <v>0</v>
      </c>
      <c r="J39" s="147">
        <v>0</v>
      </c>
      <c r="K39" s="103"/>
      <c r="L39" s="156"/>
      <c r="N39" s="126">
        <f t="shared" si="1"/>
        <v>0</v>
      </c>
      <c r="O39" s="127">
        <f t="shared" si="2"/>
        <v>0</v>
      </c>
      <c r="P39" s="127">
        <f t="shared" si="3"/>
        <v>0</v>
      </c>
      <c r="Q39" s="127">
        <f t="shared" si="4"/>
        <v>0</v>
      </c>
      <c r="R39" s="128">
        <f t="shared" si="5"/>
        <v>0</v>
      </c>
    </row>
    <row r="40" spans="3:18" ht="15" customHeight="1">
      <c r="C40" s="143"/>
      <c r="D40" s="144"/>
      <c r="E40" s="145"/>
      <c r="F40" s="146">
        <v>0</v>
      </c>
      <c r="G40" s="146">
        <v>0</v>
      </c>
      <c r="H40" s="146">
        <v>0</v>
      </c>
      <c r="I40" s="146">
        <v>0</v>
      </c>
      <c r="J40" s="147">
        <v>0</v>
      </c>
      <c r="K40" s="103"/>
      <c r="L40" s="156"/>
      <c r="N40" s="126">
        <f t="shared" si="1"/>
        <v>0</v>
      </c>
      <c r="O40" s="127">
        <f t="shared" si="2"/>
        <v>0</v>
      </c>
      <c r="P40" s="127">
        <f t="shared" si="3"/>
        <v>0</v>
      </c>
      <c r="Q40" s="127">
        <f t="shared" si="4"/>
        <v>0</v>
      </c>
      <c r="R40" s="128">
        <f t="shared" si="5"/>
        <v>0</v>
      </c>
    </row>
    <row r="41" spans="3:18" ht="15" customHeight="1">
      <c r="C41" s="143"/>
      <c r="D41" s="144"/>
      <c r="E41" s="145"/>
      <c r="F41" s="146">
        <v>0</v>
      </c>
      <c r="G41" s="146">
        <v>0</v>
      </c>
      <c r="H41" s="146">
        <v>0</v>
      </c>
      <c r="I41" s="146">
        <v>0</v>
      </c>
      <c r="J41" s="147">
        <v>0</v>
      </c>
      <c r="K41" s="103"/>
      <c r="L41" s="155"/>
      <c r="N41" s="126">
        <f t="shared" si="1"/>
        <v>0</v>
      </c>
      <c r="O41" s="127">
        <f t="shared" si="2"/>
        <v>0</v>
      </c>
      <c r="P41" s="127">
        <f t="shared" si="3"/>
        <v>0</v>
      </c>
      <c r="Q41" s="127">
        <f t="shared" si="4"/>
        <v>0</v>
      </c>
      <c r="R41" s="128">
        <f t="shared" si="5"/>
        <v>0</v>
      </c>
    </row>
    <row r="42" spans="3:18" ht="15" customHeight="1">
      <c r="C42" s="143"/>
      <c r="D42" s="144"/>
      <c r="E42" s="145"/>
      <c r="F42" s="146">
        <v>0</v>
      </c>
      <c r="G42" s="146">
        <v>0</v>
      </c>
      <c r="H42" s="146">
        <v>0</v>
      </c>
      <c r="I42" s="146">
        <v>0</v>
      </c>
      <c r="J42" s="147">
        <v>0</v>
      </c>
      <c r="K42" s="103"/>
      <c r="L42" s="155"/>
      <c r="N42" s="126">
        <f t="shared" si="1"/>
        <v>0</v>
      </c>
      <c r="O42" s="127">
        <f t="shared" si="2"/>
        <v>0</v>
      </c>
      <c r="P42" s="127">
        <f t="shared" si="3"/>
        <v>0</v>
      </c>
      <c r="Q42" s="127">
        <f t="shared" si="4"/>
        <v>0</v>
      </c>
      <c r="R42" s="128">
        <f t="shared" si="5"/>
        <v>0</v>
      </c>
    </row>
    <row r="43" spans="3:18" ht="15" customHeight="1">
      <c r="C43" s="143"/>
      <c r="D43" s="144"/>
      <c r="E43" s="145"/>
      <c r="F43" s="146">
        <v>0</v>
      </c>
      <c r="G43" s="146">
        <v>0</v>
      </c>
      <c r="H43" s="146">
        <v>0</v>
      </c>
      <c r="I43" s="146">
        <v>0</v>
      </c>
      <c r="J43" s="147">
        <v>0</v>
      </c>
      <c r="K43" s="103"/>
      <c r="L43" s="156"/>
      <c r="N43" s="126">
        <f t="shared" si="1"/>
        <v>0</v>
      </c>
      <c r="O43" s="127">
        <f t="shared" si="2"/>
        <v>0</v>
      </c>
      <c r="P43" s="127">
        <f t="shared" si="3"/>
        <v>0</v>
      </c>
      <c r="Q43" s="127">
        <f t="shared" si="4"/>
        <v>0</v>
      </c>
      <c r="R43" s="128">
        <f t="shared" si="5"/>
        <v>0</v>
      </c>
    </row>
    <row r="44" spans="3:18" ht="15" customHeight="1">
      <c r="C44" s="143"/>
      <c r="D44" s="144"/>
      <c r="E44" s="145"/>
      <c r="F44" s="146">
        <v>0</v>
      </c>
      <c r="G44" s="146">
        <v>0</v>
      </c>
      <c r="H44" s="146">
        <v>0</v>
      </c>
      <c r="I44" s="146">
        <v>0</v>
      </c>
      <c r="J44" s="147">
        <v>0</v>
      </c>
      <c r="K44" s="103"/>
      <c r="L44" s="155"/>
      <c r="N44" s="126">
        <f t="shared" si="1"/>
        <v>0</v>
      </c>
      <c r="O44" s="127">
        <f t="shared" ref="O44:O67" si="6">SUM(G44-F44)*$E44+SUM(N44*O$8)+N44</f>
        <v>0</v>
      </c>
      <c r="P44" s="127">
        <f t="shared" ref="P44:P67" si="7">SUM(H44-G44)*$E44+SUM(O44*P$8)+O44</f>
        <v>0</v>
      </c>
      <c r="Q44" s="127">
        <f t="shared" ref="Q44:Q67" si="8">SUM(I44-H44)*$E44+SUM(P44*Q$8)+P44</f>
        <v>0</v>
      </c>
      <c r="R44" s="128">
        <f t="shared" ref="R44:R67" si="9">SUM(J44-I44)*$E44+SUM(Q44*R$8)+Q44</f>
        <v>0</v>
      </c>
    </row>
    <row r="45" spans="3:18" ht="15" customHeight="1">
      <c r="C45" s="143"/>
      <c r="D45" s="144"/>
      <c r="E45" s="145"/>
      <c r="F45" s="146">
        <v>0</v>
      </c>
      <c r="G45" s="146">
        <v>0</v>
      </c>
      <c r="H45" s="146">
        <v>0</v>
      </c>
      <c r="I45" s="146">
        <v>0</v>
      </c>
      <c r="J45" s="147">
        <v>0</v>
      </c>
      <c r="K45" s="103"/>
      <c r="L45" s="156"/>
      <c r="N45" s="126">
        <f t="shared" si="1"/>
        <v>0</v>
      </c>
      <c r="O45" s="127">
        <f t="shared" si="6"/>
        <v>0</v>
      </c>
      <c r="P45" s="127">
        <f t="shared" si="7"/>
        <v>0</v>
      </c>
      <c r="Q45" s="127">
        <f t="shared" si="8"/>
        <v>0</v>
      </c>
      <c r="R45" s="128">
        <f t="shared" si="9"/>
        <v>0</v>
      </c>
    </row>
    <row r="46" spans="3:18" ht="15" customHeight="1">
      <c r="C46" s="143"/>
      <c r="D46" s="144"/>
      <c r="E46" s="145"/>
      <c r="F46" s="146">
        <v>0</v>
      </c>
      <c r="G46" s="146">
        <v>0</v>
      </c>
      <c r="H46" s="146">
        <v>0</v>
      </c>
      <c r="I46" s="146">
        <v>0</v>
      </c>
      <c r="J46" s="147">
        <v>0</v>
      </c>
      <c r="K46" s="103"/>
      <c r="L46" s="156"/>
      <c r="N46" s="126">
        <f t="shared" si="1"/>
        <v>0</v>
      </c>
      <c r="O46" s="127">
        <f t="shared" si="6"/>
        <v>0</v>
      </c>
      <c r="P46" s="127">
        <f t="shared" si="7"/>
        <v>0</v>
      </c>
      <c r="Q46" s="127">
        <f t="shared" si="8"/>
        <v>0</v>
      </c>
      <c r="R46" s="128">
        <f t="shared" si="9"/>
        <v>0</v>
      </c>
    </row>
    <row r="47" spans="3:18" ht="15" customHeight="1">
      <c r="C47" s="143"/>
      <c r="D47" s="144"/>
      <c r="E47" s="148"/>
      <c r="F47" s="146">
        <v>0</v>
      </c>
      <c r="G47" s="146">
        <v>0</v>
      </c>
      <c r="H47" s="146">
        <v>0</v>
      </c>
      <c r="I47" s="146">
        <v>0</v>
      </c>
      <c r="J47" s="147">
        <v>0</v>
      </c>
      <c r="K47" s="103"/>
      <c r="L47" s="156"/>
      <c r="N47" s="126">
        <f t="shared" si="1"/>
        <v>0</v>
      </c>
      <c r="O47" s="127">
        <f t="shared" si="6"/>
        <v>0</v>
      </c>
      <c r="P47" s="127">
        <f t="shared" si="7"/>
        <v>0</v>
      </c>
      <c r="Q47" s="127">
        <f t="shared" si="8"/>
        <v>0</v>
      </c>
      <c r="R47" s="128">
        <f t="shared" si="9"/>
        <v>0</v>
      </c>
    </row>
    <row r="48" spans="3:18" ht="15" customHeight="1">
      <c r="C48" s="143"/>
      <c r="D48" s="144"/>
      <c r="E48" s="145"/>
      <c r="F48" s="146">
        <v>0</v>
      </c>
      <c r="G48" s="146">
        <v>0</v>
      </c>
      <c r="H48" s="146">
        <v>0</v>
      </c>
      <c r="I48" s="146">
        <v>0</v>
      </c>
      <c r="J48" s="147">
        <v>0</v>
      </c>
      <c r="K48" s="103"/>
      <c r="L48" s="156"/>
      <c r="N48" s="126">
        <f t="shared" si="1"/>
        <v>0</v>
      </c>
      <c r="O48" s="127">
        <f t="shared" si="6"/>
        <v>0</v>
      </c>
      <c r="P48" s="127">
        <f t="shared" si="7"/>
        <v>0</v>
      </c>
      <c r="Q48" s="127">
        <f t="shared" si="8"/>
        <v>0</v>
      </c>
      <c r="R48" s="128">
        <f t="shared" si="9"/>
        <v>0</v>
      </c>
    </row>
    <row r="49" spans="3:18" ht="15" customHeight="1">
      <c r="C49" s="143"/>
      <c r="D49" s="144"/>
      <c r="E49" s="145"/>
      <c r="F49" s="146">
        <v>0</v>
      </c>
      <c r="G49" s="146">
        <v>0</v>
      </c>
      <c r="H49" s="146">
        <v>0</v>
      </c>
      <c r="I49" s="146">
        <v>0</v>
      </c>
      <c r="J49" s="147">
        <v>0</v>
      </c>
      <c r="K49" s="103"/>
      <c r="L49" s="156"/>
      <c r="N49" s="126">
        <f t="shared" si="1"/>
        <v>0</v>
      </c>
      <c r="O49" s="127">
        <f t="shared" si="6"/>
        <v>0</v>
      </c>
      <c r="P49" s="127">
        <f t="shared" si="7"/>
        <v>0</v>
      </c>
      <c r="Q49" s="127">
        <f t="shared" si="8"/>
        <v>0</v>
      </c>
      <c r="R49" s="128">
        <f t="shared" si="9"/>
        <v>0</v>
      </c>
    </row>
    <row r="50" spans="3:18" ht="15" customHeight="1">
      <c r="C50" s="143"/>
      <c r="D50" s="144"/>
      <c r="E50" s="148"/>
      <c r="F50" s="146">
        <v>0</v>
      </c>
      <c r="G50" s="146">
        <v>0</v>
      </c>
      <c r="H50" s="146">
        <v>0</v>
      </c>
      <c r="I50" s="146">
        <v>0</v>
      </c>
      <c r="J50" s="147">
        <v>0</v>
      </c>
      <c r="K50" s="103"/>
      <c r="L50" s="156"/>
      <c r="N50" s="126">
        <f t="shared" si="1"/>
        <v>0</v>
      </c>
      <c r="O50" s="127">
        <f t="shared" si="6"/>
        <v>0</v>
      </c>
      <c r="P50" s="127">
        <f t="shared" si="7"/>
        <v>0</v>
      </c>
      <c r="Q50" s="127">
        <f t="shared" si="8"/>
        <v>0</v>
      </c>
      <c r="R50" s="128">
        <f t="shared" si="9"/>
        <v>0</v>
      </c>
    </row>
    <row r="51" spans="3:18" ht="15" customHeight="1">
      <c r="C51" s="143"/>
      <c r="D51" s="144"/>
      <c r="E51" s="148"/>
      <c r="F51" s="146">
        <v>0</v>
      </c>
      <c r="G51" s="146">
        <v>0</v>
      </c>
      <c r="H51" s="146">
        <v>0</v>
      </c>
      <c r="I51" s="146">
        <v>0</v>
      </c>
      <c r="J51" s="147">
        <v>0</v>
      </c>
      <c r="K51" s="103"/>
      <c r="L51" s="156"/>
      <c r="N51" s="126">
        <f t="shared" si="1"/>
        <v>0</v>
      </c>
      <c r="O51" s="127">
        <f t="shared" si="6"/>
        <v>0</v>
      </c>
      <c r="P51" s="127">
        <f t="shared" si="7"/>
        <v>0</v>
      </c>
      <c r="Q51" s="127">
        <f t="shared" si="8"/>
        <v>0</v>
      </c>
      <c r="R51" s="128">
        <f t="shared" si="9"/>
        <v>0</v>
      </c>
    </row>
    <row r="52" spans="3:18" ht="15" customHeight="1">
      <c r="C52" s="149"/>
      <c r="D52" s="144"/>
      <c r="E52" s="150"/>
      <c r="F52" s="146">
        <v>0</v>
      </c>
      <c r="G52" s="146">
        <v>0</v>
      </c>
      <c r="H52" s="146">
        <v>0</v>
      </c>
      <c r="I52" s="146">
        <v>0</v>
      </c>
      <c r="J52" s="147">
        <v>0</v>
      </c>
      <c r="K52" s="103"/>
      <c r="L52" s="157"/>
      <c r="N52" s="126">
        <f t="shared" si="1"/>
        <v>0</v>
      </c>
      <c r="O52" s="127">
        <f t="shared" si="6"/>
        <v>0</v>
      </c>
      <c r="P52" s="127">
        <f t="shared" si="7"/>
        <v>0</v>
      </c>
      <c r="Q52" s="127">
        <f t="shared" si="8"/>
        <v>0</v>
      </c>
      <c r="R52" s="128">
        <f t="shared" si="9"/>
        <v>0</v>
      </c>
    </row>
    <row r="53" spans="3:18" ht="15" customHeight="1">
      <c r="C53" s="149"/>
      <c r="D53" s="144"/>
      <c r="E53" s="150"/>
      <c r="F53" s="146">
        <v>0</v>
      </c>
      <c r="G53" s="146">
        <v>0</v>
      </c>
      <c r="H53" s="146">
        <v>0</v>
      </c>
      <c r="I53" s="146">
        <v>0</v>
      </c>
      <c r="J53" s="147">
        <v>0</v>
      </c>
      <c r="K53" s="103"/>
      <c r="L53" s="157"/>
      <c r="N53" s="126">
        <f t="shared" si="1"/>
        <v>0</v>
      </c>
      <c r="O53" s="127">
        <f t="shared" si="6"/>
        <v>0</v>
      </c>
      <c r="P53" s="127">
        <f t="shared" si="7"/>
        <v>0</v>
      </c>
      <c r="Q53" s="127">
        <f t="shared" si="8"/>
        <v>0</v>
      </c>
      <c r="R53" s="128">
        <f t="shared" si="9"/>
        <v>0</v>
      </c>
    </row>
    <row r="54" spans="3:18" ht="15" customHeight="1">
      <c r="C54" s="149"/>
      <c r="D54" s="144"/>
      <c r="E54" s="150"/>
      <c r="F54" s="146">
        <v>0</v>
      </c>
      <c r="G54" s="146">
        <v>0</v>
      </c>
      <c r="H54" s="146">
        <v>0</v>
      </c>
      <c r="I54" s="146">
        <v>0</v>
      </c>
      <c r="J54" s="147">
        <v>0</v>
      </c>
      <c r="K54" s="103"/>
      <c r="L54" s="157"/>
      <c r="N54" s="126">
        <f t="shared" si="1"/>
        <v>0</v>
      </c>
      <c r="O54" s="127">
        <f t="shared" si="6"/>
        <v>0</v>
      </c>
      <c r="P54" s="127">
        <f t="shared" si="7"/>
        <v>0</v>
      </c>
      <c r="Q54" s="127">
        <f t="shared" si="8"/>
        <v>0</v>
      </c>
      <c r="R54" s="128">
        <f t="shared" si="9"/>
        <v>0</v>
      </c>
    </row>
    <row r="55" spans="3:18" ht="15" customHeight="1">
      <c r="C55" s="149"/>
      <c r="D55" s="144"/>
      <c r="E55" s="150"/>
      <c r="F55" s="146">
        <v>0</v>
      </c>
      <c r="G55" s="146">
        <v>0</v>
      </c>
      <c r="H55" s="146">
        <v>0</v>
      </c>
      <c r="I55" s="146">
        <v>0</v>
      </c>
      <c r="J55" s="147">
        <v>0</v>
      </c>
      <c r="K55" s="103"/>
      <c r="L55" s="157"/>
      <c r="N55" s="126">
        <f t="shared" si="1"/>
        <v>0</v>
      </c>
      <c r="O55" s="127">
        <f t="shared" si="6"/>
        <v>0</v>
      </c>
      <c r="P55" s="127">
        <f t="shared" si="7"/>
        <v>0</v>
      </c>
      <c r="Q55" s="127">
        <f t="shared" si="8"/>
        <v>0</v>
      </c>
      <c r="R55" s="128">
        <f t="shared" si="9"/>
        <v>0</v>
      </c>
    </row>
    <row r="56" spans="3:18" ht="15" customHeight="1">
      <c r="C56" s="149"/>
      <c r="D56" s="144"/>
      <c r="E56" s="150"/>
      <c r="F56" s="146">
        <v>0</v>
      </c>
      <c r="G56" s="146">
        <v>0</v>
      </c>
      <c r="H56" s="146">
        <v>0</v>
      </c>
      <c r="I56" s="146">
        <v>0</v>
      </c>
      <c r="J56" s="147">
        <v>0</v>
      </c>
      <c r="K56" s="103"/>
      <c r="L56" s="157"/>
      <c r="N56" s="126">
        <f t="shared" si="1"/>
        <v>0</v>
      </c>
      <c r="O56" s="127">
        <f t="shared" si="6"/>
        <v>0</v>
      </c>
      <c r="P56" s="127">
        <f t="shared" si="7"/>
        <v>0</v>
      </c>
      <c r="Q56" s="127">
        <f t="shared" si="8"/>
        <v>0</v>
      </c>
      <c r="R56" s="128">
        <f t="shared" si="9"/>
        <v>0</v>
      </c>
    </row>
    <row r="57" spans="3:18" ht="15" customHeight="1">
      <c r="C57" s="149"/>
      <c r="D57" s="144"/>
      <c r="E57" s="150"/>
      <c r="F57" s="146">
        <v>0</v>
      </c>
      <c r="G57" s="146">
        <v>0</v>
      </c>
      <c r="H57" s="146">
        <v>0</v>
      </c>
      <c r="I57" s="146">
        <v>0</v>
      </c>
      <c r="J57" s="147">
        <v>0</v>
      </c>
      <c r="K57" s="103"/>
      <c r="L57" s="157"/>
      <c r="N57" s="126">
        <f t="shared" si="1"/>
        <v>0</v>
      </c>
      <c r="O57" s="127">
        <f t="shared" si="6"/>
        <v>0</v>
      </c>
      <c r="P57" s="127">
        <f t="shared" si="7"/>
        <v>0</v>
      </c>
      <c r="Q57" s="127">
        <f t="shared" si="8"/>
        <v>0</v>
      </c>
      <c r="R57" s="128">
        <f t="shared" si="9"/>
        <v>0</v>
      </c>
    </row>
    <row r="58" spans="3:18" ht="15" customHeight="1">
      <c r="C58" s="149"/>
      <c r="D58" s="144"/>
      <c r="E58" s="150"/>
      <c r="F58" s="146">
        <v>0</v>
      </c>
      <c r="G58" s="146">
        <v>0</v>
      </c>
      <c r="H58" s="146">
        <v>0</v>
      </c>
      <c r="I58" s="146">
        <v>0</v>
      </c>
      <c r="J58" s="147">
        <v>0</v>
      </c>
      <c r="K58" s="103"/>
      <c r="L58" s="157"/>
      <c r="N58" s="126">
        <f t="shared" si="1"/>
        <v>0</v>
      </c>
      <c r="O58" s="127">
        <f t="shared" si="6"/>
        <v>0</v>
      </c>
      <c r="P58" s="127">
        <f t="shared" si="7"/>
        <v>0</v>
      </c>
      <c r="Q58" s="127">
        <f t="shared" si="8"/>
        <v>0</v>
      </c>
      <c r="R58" s="128">
        <f t="shared" si="9"/>
        <v>0</v>
      </c>
    </row>
    <row r="59" spans="3:18" ht="15" customHeight="1">
      <c r="C59" s="149"/>
      <c r="D59" s="144"/>
      <c r="E59" s="150"/>
      <c r="F59" s="146">
        <v>0</v>
      </c>
      <c r="G59" s="146">
        <v>0</v>
      </c>
      <c r="H59" s="146">
        <v>0</v>
      </c>
      <c r="I59" s="146">
        <v>0</v>
      </c>
      <c r="J59" s="147">
        <v>0</v>
      </c>
      <c r="K59" s="103"/>
      <c r="L59" s="157"/>
      <c r="N59" s="126">
        <f t="shared" si="1"/>
        <v>0</v>
      </c>
      <c r="O59" s="127">
        <f t="shared" si="6"/>
        <v>0</v>
      </c>
      <c r="P59" s="127">
        <f t="shared" si="7"/>
        <v>0</v>
      </c>
      <c r="Q59" s="127">
        <f t="shared" si="8"/>
        <v>0</v>
      </c>
      <c r="R59" s="128">
        <f t="shared" si="9"/>
        <v>0</v>
      </c>
    </row>
    <row r="60" spans="3:18" ht="15" customHeight="1">
      <c r="C60" s="149"/>
      <c r="D60" s="144"/>
      <c r="E60" s="150"/>
      <c r="F60" s="146">
        <v>0</v>
      </c>
      <c r="G60" s="146">
        <v>0</v>
      </c>
      <c r="H60" s="146">
        <v>0</v>
      </c>
      <c r="I60" s="146">
        <v>0</v>
      </c>
      <c r="J60" s="147">
        <v>0</v>
      </c>
      <c r="K60" s="103"/>
      <c r="L60" s="157"/>
      <c r="N60" s="126">
        <f t="shared" si="1"/>
        <v>0</v>
      </c>
      <c r="O60" s="127">
        <f t="shared" si="6"/>
        <v>0</v>
      </c>
      <c r="P60" s="127">
        <f t="shared" si="7"/>
        <v>0</v>
      </c>
      <c r="Q60" s="127">
        <f t="shared" si="8"/>
        <v>0</v>
      </c>
      <c r="R60" s="128">
        <f t="shared" si="9"/>
        <v>0</v>
      </c>
    </row>
    <row r="61" spans="3:18" ht="15" customHeight="1">
      <c r="C61" s="149"/>
      <c r="D61" s="144"/>
      <c r="E61" s="150"/>
      <c r="F61" s="146">
        <v>0</v>
      </c>
      <c r="G61" s="146">
        <v>0</v>
      </c>
      <c r="H61" s="146">
        <v>0</v>
      </c>
      <c r="I61" s="146">
        <v>0</v>
      </c>
      <c r="J61" s="147">
        <v>0</v>
      </c>
      <c r="K61" s="103"/>
      <c r="L61" s="157"/>
      <c r="N61" s="126">
        <f t="shared" si="1"/>
        <v>0</v>
      </c>
      <c r="O61" s="127">
        <f t="shared" si="6"/>
        <v>0</v>
      </c>
      <c r="P61" s="127">
        <f t="shared" si="7"/>
        <v>0</v>
      </c>
      <c r="Q61" s="127">
        <f t="shared" si="8"/>
        <v>0</v>
      </c>
      <c r="R61" s="128">
        <f t="shared" si="9"/>
        <v>0</v>
      </c>
    </row>
    <row r="62" spans="3:18" ht="15" customHeight="1">
      <c r="C62" s="149"/>
      <c r="D62" s="144"/>
      <c r="E62" s="150"/>
      <c r="F62" s="146">
        <v>0</v>
      </c>
      <c r="G62" s="146">
        <v>0</v>
      </c>
      <c r="H62" s="146">
        <v>0</v>
      </c>
      <c r="I62" s="146">
        <v>0</v>
      </c>
      <c r="J62" s="147">
        <v>0</v>
      </c>
      <c r="K62" s="103"/>
      <c r="L62" s="157"/>
      <c r="N62" s="126">
        <f t="shared" si="1"/>
        <v>0</v>
      </c>
      <c r="O62" s="127">
        <f t="shared" si="6"/>
        <v>0</v>
      </c>
      <c r="P62" s="127">
        <f t="shared" si="7"/>
        <v>0</v>
      </c>
      <c r="Q62" s="127">
        <f t="shared" si="8"/>
        <v>0</v>
      </c>
      <c r="R62" s="128">
        <f t="shared" si="9"/>
        <v>0</v>
      </c>
    </row>
    <row r="63" spans="3:18" ht="15" customHeight="1">
      <c r="C63" s="149"/>
      <c r="D63" s="144"/>
      <c r="E63" s="150"/>
      <c r="F63" s="146">
        <v>0</v>
      </c>
      <c r="G63" s="146">
        <v>0</v>
      </c>
      <c r="H63" s="146">
        <v>0</v>
      </c>
      <c r="I63" s="146">
        <v>0</v>
      </c>
      <c r="J63" s="147">
        <v>0</v>
      </c>
      <c r="K63" s="103"/>
      <c r="L63" s="157"/>
      <c r="N63" s="126">
        <f t="shared" si="1"/>
        <v>0</v>
      </c>
      <c r="O63" s="127">
        <f t="shared" si="6"/>
        <v>0</v>
      </c>
      <c r="P63" s="127">
        <f t="shared" si="7"/>
        <v>0</v>
      </c>
      <c r="Q63" s="127">
        <f t="shared" si="8"/>
        <v>0</v>
      </c>
      <c r="R63" s="128">
        <f t="shared" si="9"/>
        <v>0</v>
      </c>
    </row>
    <row r="64" spans="3:18" ht="15" customHeight="1">
      <c r="C64" s="143"/>
      <c r="D64" s="144"/>
      <c r="E64" s="148"/>
      <c r="F64" s="146">
        <v>0</v>
      </c>
      <c r="G64" s="146">
        <v>0</v>
      </c>
      <c r="H64" s="146">
        <v>0</v>
      </c>
      <c r="I64" s="146">
        <v>0</v>
      </c>
      <c r="J64" s="147">
        <v>0</v>
      </c>
      <c r="K64" s="103"/>
      <c r="L64" s="156"/>
      <c r="N64" s="126">
        <f t="shared" si="1"/>
        <v>0</v>
      </c>
      <c r="O64" s="127">
        <f t="shared" si="6"/>
        <v>0</v>
      </c>
      <c r="P64" s="127">
        <f t="shared" si="7"/>
        <v>0</v>
      </c>
      <c r="Q64" s="127">
        <f t="shared" si="8"/>
        <v>0</v>
      </c>
      <c r="R64" s="128">
        <f t="shared" si="9"/>
        <v>0</v>
      </c>
    </row>
    <row r="65" spans="3:18" ht="15" customHeight="1">
      <c r="C65" s="143"/>
      <c r="D65" s="144"/>
      <c r="E65" s="148"/>
      <c r="F65" s="146">
        <v>0</v>
      </c>
      <c r="G65" s="146">
        <v>0</v>
      </c>
      <c r="H65" s="146">
        <v>0</v>
      </c>
      <c r="I65" s="146">
        <v>0</v>
      </c>
      <c r="J65" s="147">
        <v>0</v>
      </c>
      <c r="K65" s="103"/>
      <c r="L65" s="156"/>
      <c r="N65" s="126">
        <f t="shared" si="1"/>
        <v>0</v>
      </c>
      <c r="O65" s="127">
        <f t="shared" si="6"/>
        <v>0</v>
      </c>
      <c r="P65" s="127">
        <f t="shared" si="7"/>
        <v>0</v>
      </c>
      <c r="Q65" s="127">
        <f t="shared" si="8"/>
        <v>0</v>
      </c>
      <c r="R65" s="128">
        <f t="shared" si="9"/>
        <v>0</v>
      </c>
    </row>
    <row r="66" spans="3:18" ht="15" customHeight="1">
      <c r="C66" s="143"/>
      <c r="D66" s="144"/>
      <c r="E66" s="148"/>
      <c r="F66" s="146">
        <v>0</v>
      </c>
      <c r="G66" s="146">
        <v>0</v>
      </c>
      <c r="H66" s="146">
        <v>0</v>
      </c>
      <c r="I66" s="146">
        <v>0</v>
      </c>
      <c r="J66" s="147">
        <v>0</v>
      </c>
      <c r="K66" s="103"/>
      <c r="L66" s="156"/>
      <c r="N66" s="126">
        <f t="shared" si="1"/>
        <v>0</v>
      </c>
      <c r="O66" s="127">
        <f t="shared" si="6"/>
        <v>0</v>
      </c>
      <c r="P66" s="127">
        <f t="shared" si="7"/>
        <v>0</v>
      </c>
      <c r="Q66" s="127">
        <f t="shared" si="8"/>
        <v>0</v>
      </c>
      <c r="R66" s="128">
        <f t="shared" si="9"/>
        <v>0</v>
      </c>
    </row>
    <row r="67" spans="3:18" ht="15" customHeight="1" thickBot="1">
      <c r="C67" s="143"/>
      <c r="D67" s="144"/>
      <c r="E67" s="151"/>
      <c r="F67" s="146">
        <v>0</v>
      </c>
      <c r="G67" s="146">
        <v>0</v>
      </c>
      <c r="H67" s="146">
        <v>0</v>
      </c>
      <c r="I67" s="146">
        <v>0</v>
      </c>
      <c r="J67" s="147">
        <v>0</v>
      </c>
      <c r="K67" s="103"/>
      <c r="L67" s="158"/>
      <c r="N67" s="126">
        <f t="shared" si="1"/>
        <v>0</v>
      </c>
      <c r="O67" s="127">
        <f t="shared" si="6"/>
        <v>0</v>
      </c>
      <c r="P67" s="127">
        <f t="shared" si="7"/>
        <v>0</v>
      </c>
      <c r="Q67" s="127">
        <f t="shared" si="8"/>
        <v>0</v>
      </c>
      <c r="R67" s="128">
        <f t="shared" si="9"/>
        <v>0</v>
      </c>
    </row>
    <row r="68" spans="3:18" ht="15" customHeight="1" thickTop="1" thickBot="1">
      <c r="C68" s="130" t="s">
        <v>11</v>
      </c>
      <c r="D68" s="131"/>
      <c r="E68" s="131"/>
      <c r="F68" s="132">
        <f>SUM(F10:F67)</f>
        <v>1</v>
      </c>
      <c r="G68" s="132">
        <f>SUM(G10:G67)</f>
        <v>0</v>
      </c>
      <c r="H68" s="132">
        <f>SUM(H10:H67)</f>
        <v>0</v>
      </c>
      <c r="I68" s="132">
        <f>SUM(I10:I67)</f>
        <v>0</v>
      </c>
      <c r="J68" s="133">
        <f>SUM(J10:J67)</f>
        <v>0</v>
      </c>
      <c r="K68" s="134"/>
      <c r="L68" s="135"/>
      <c r="N68" s="136">
        <f>SUM(N10:N67)</f>
        <v>0</v>
      </c>
      <c r="O68" s="137">
        <f>SUM(O10:O67)</f>
        <v>0</v>
      </c>
      <c r="P68" s="137">
        <f>SUM(P10:P67)</f>
        <v>0</v>
      </c>
      <c r="Q68" s="137">
        <f>SUM(Q10:Q67)</f>
        <v>0</v>
      </c>
      <c r="R68" s="138">
        <f>SUM(R10:R67)</f>
        <v>0</v>
      </c>
    </row>
    <row r="69" spans="3:18" ht="15" customHeight="1">
      <c r="C69" s="139"/>
      <c r="D69" s="139"/>
      <c r="E69" s="139"/>
      <c r="F69" s="140"/>
      <c r="G69" s="140"/>
      <c r="H69" s="140"/>
      <c r="I69" s="140"/>
      <c r="J69" s="140"/>
      <c r="K69" s="141"/>
      <c r="L69" s="142"/>
    </row>
  </sheetData>
  <sheetProtection algorithmName="SHA-512" hashValue="dCXKKvm0TNKPo8ujfdczM0DT1krBjJTTQZpgF3LzElez0bHrVKhc1dpyVO3FIPUb/KvEMjPfxV4oxwRFQZqzpQ==" saltValue="vnRudR5o8THOzi8dsqRRJQ==" spinCount="100000" sheet="1" objects="1" scenarios="1" formatCells="0" formatColumns="0" formatRows="0" insertRows="0"/>
  <mergeCells count="8">
    <mergeCell ref="C4:C8"/>
    <mergeCell ref="C3:R3"/>
    <mergeCell ref="F4:J4"/>
    <mergeCell ref="L4:L8"/>
    <mergeCell ref="N4:R4"/>
    <mergeCell ref="N7:R7"/>
    <mergeCell ref="E4:E8"/>
    <mergeCell ref="D4:D8"/>
  </mergeCells>
  <dataValidations count="1">
    <dataValidation type="list" allowBlank="1" showInputMessage="1" showErrorMessage="1" sqref="D10:D67">
      <formula1>X_PositionsCategories</formula1>
    </dataValidation>
  </dataValidations>
  <printOptions horizontalCentered="1"/>
  <pageMargins left="0.2" right="0.1" top="0.5" bottom="0.25" header="0.3" footer="0.3"/>
  <pageSetup scale="50" orientation="landscape" r:id="rId1"/>
  <ignoredErrors>
    <ignoredError sqref="P11"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249977111117893"/>
  </sheetPr>
  <dimension ref="C2:BL204"/>
  <sheetViews>
    <sheetView view="pageBreakPreview" zoomScale="75" zoomScaleNormal="75" zoomScaleSheetLayoutView="75" workbookViewId="0">
      <pane xSplit="6" ySplit="17" topLeftCell="G18" activePane="bottomRight" state="frozen"/>
      <selection pane="topRight" activeCell="G1" sqref="G1"/>
      <selection pane="bottomLeft" activeCell="A18" sqref="A18"/>
      <selection pane="bottomRight" activeCell="C11" sqref="C11"/>
    </sheetView>
  </sheetViews>
  <sheetFormatPr defaultColWidth="9.140625" defaultRowHeight="15" outlineLevelCol="1"/>
  <cols>
    <col min="1" max="2" width="2.7109375" style="159" customWidth="1"/>
    <col min="3" max="3" width="58.28515625" style="159" customWidth="1"/>
    <col min="4" max="4" width="2.5703125" style="159" customWidth="1"/>
    <col min="5" max="5" width="10.7109375" style="159" customWidth="1"/>
    <col min="6" max="6" width="15.7109375" style="159" customWidth="1"/>
    <col min="7" max="7" width="2.5703125" style="159" customWidth="1"/>
    <col min="8" max="12" width="13.28515625" style="159" customWidth="1"/>
    <col min="13" max="13" width="1.7109375" style="159" customWidth="1"/>
    <col min="14" max="14" width="80" style="288" bestFit="1" customWidth="1"/>
    <col min="15" max="15" width="2.7109375" style="159" customWidth="1"/>
    <col min="16" max="23" width="13.7109375" style="159" customWidth="1"/>
    <col min="24" max="24" width="13.7109375" style="159" hidden="1" customWidth="1" outlineLevel="1"/>
    <col min="25" max="25" width="19.5703125" style="159" hidden="1" customWidth="1" outlineLevel="1"/>
    <col min="26" max="26" width="46.42578125" style="161" hidden="1" customWidth="1" outlineLevel="1"/>
    <col min="27" max="37" width="14.42578125" style="161" hidden="1" customWidth="1" outlineLevel="1"/>
    <col min="38" max="39" width="11.28515625" style="161" hidden="1" customWidth="1" outlineLevel="1"/>
    <col min="40" max="40" width="32.28515625" style="161" hidden="1" customWidth="1" outlineLevel="1"/>
    <col min="41" max="51" width="9.140625" style="161" hidden="1" customWidth="1" outlineLevel="1"/>
    <col min="52" max="57" width="9.140625" style="159" hidden="1" customWidth="1" outlineLevel="1"/>
    <col min="58" max="58" width="9.140625" style="159" collapsed="1"/>
    <col min="59" max="16384" width="9.140625" style="159"/>
  </cols>
  <sheetData>
    <row r="2" spans="3:64" hidden="1"/>
    <row r="3" spans="3:64" hidden="1"/>
    <row r="4" spans="3:64" hidden="1"/>
    <row r="5" spans="3:64" hidden="1"/>
    <row r="6" spans="3:64" ht="9.75" customHeight="1">
      <c r="Y6" s="162"/>
      <c r="Z6" s="163"/>
      <c r="AA6" s="164"/>
      <c r="AB6" s="164"/>
      <c r="AC6" s="164"/>
      <c r="AD6" s="164"/>
      <c r="AE6" s="164"/>
      <c r="AF6" s="164"/>
      <c r="AG6" s="164"/>
      <c r="AH6" s="164"/>
      <c r="AI6" s="164"/>
      <c r="AJ6" s="164"/>
      <c r="AK6" s="164"/>
      <c r="AL6" s="163"/>
      <c r="AM6" s="163"/>
      <c r="AN6" s="163"/>
      <c r="AO6" s="163"/>
      <c r="AP6" s="163"/>
      <c r="AQ6" s="163"/>
      <c r="AR6" s="163"/>
      <c r="AS6" s="163"/>
      <c r="AT6" s="163"/>
      <c r="AU6" s="163"/>
      <c r="AV6" s="163"/>
      <c r="AW6" s="163"/>
      <c r="AX6" s="163"/>
      <c r="AY6" s="163"/>
      <c r="AZ6" s="165"/>
      <c r="BA6" s="165"/>
      <c r="BB6" s="165"/>
      <c r="BC6" s="165"/>
      <c r="BD6" s="165"/>
      <c r="BE6" s="165"/>
    </row>
    <row r="7" spans="3:64" ht="26.25">
      <c r="C7" s="386" t="str">
        <f>X_SchoolName</f>
        <v>XYZ Charter School</v>
      </c>
      <c r="D7" s="387"/>
      <c r="E7" s="387"/>
      <c r="F7" s="387"/>
      <c r="G7" s="387"/>
      <c r="H7" s="387"/>
      <c r="I7" s="387"/>
      <c r="J7" s="387"/>
      <c r="K7" s="387"/>
      <c r="L7" s="387"/>
      <c r="M7" s="387"/>
      <c r="N7" s="388"/>
      <c r="Y7" s="162"/>
      <c r="Z7" s="164"/>
      <c r="AA7" s="164"/>
      <c r="AB7" s="164"/>
      <c r="AC7" s="164"/>
      <c r="AD7" s="164"/>
      <c r="AE7" s="164"/>
      <c r="AF7" s="164"/>
      <c r="AG7" s="164"/>
      <c r="AH7" s="164"/>
      <c r="AI7" s="164"/>
      <c r="AJ7" s="164"/>
      <c r="AK7" s="164"/>
      <c r="AL7" s="165"/>
      <c r="AM7" s="163"/>
      <c r="AN7" s="163"/>
      <c r="AO7" s="163"/>
      <c r="AP7" s="163"/>
      <c r="AQ7" s="163"/>
      <c r="AR7" s="163"/>
      <c r="AS7" s="163"/>
      <c r="AT7" s="163"/>
      <c r="AU7" s="163"/>
      <c r="AV7" s="163"/>
      <c r="AW7" s="163"/>
      <c r="AX7" s="163"/>
      <c r="AY7" s="163"/>
      <c r="AZ7" s="165"/>
      <c r="BA7" s="165"/>
      <c r="BB7" s="165"/>
      <c r="BC7" s="165"/>
      <c r="BD7" s="165"/>
      <c r="BE7" s="165"/>
    </row>
    <row r="8" spans="3:64" ht="20.100000000000001" customHeight="1">
      <c r="C8" s="166"/>
      <c r="D8" s="166"/>
      <c r="E8" s="166"/>
      <c r="F8" s="166"/>
      <c r="G8" s="166"/>
      <c r="H8" s="166"/>
      <c r="Y8" s="162"/>
      <c r="Z8" s="163"/>
      <c r="AA8" s="167"/>
      <c r="AB8" s="168"/>
      <c r="AC8" s="168"/>
      <c r="AD8" s="168"/>
      <c r="AE8" s="168"/>
      <c r="AF8" s="168"/>
      <c r="AG8" s="168"/>
      <c r="AH8" s="168"/>
      <c r="AI8" s="168"/>
      <c r="AJ8" s="168"/>
      <c r="AK8" s="168"/>
      <c r="AL8" s="168"/>
      <c r="AM8" s="163"/>
      <c r="AN8" s="163"/>
      <c r="AO8" s="163"/>
      <c r="AP8" s="163"/>
      <c r="AQ8" s="163"/>
      <c r="AR8" s="163"/>
      <c r="AS8" s="163"/>
      <c r="AT8" s="163"/>
      <c r="AU8" s="163"/>
      <c r="AV8" s="163"/>
      <c r="AW8" s="163"/>
      <c r="AX8" s="163"/>
      <c r="AY8" s="163"/>
      <c r="AZ8" s="165"/>
      <c r="BA8" s="165"/>
      <c r="BB8" s="165"/>
      <c r="BC8" s="165"/>
      <c r="BD8" s="165"/>
      <c r="BE8" s="165"/>
    </row>
    <row r="9" spans="3:64" ht="27" thickBot="1">
      <c r="C9" s="386" t="s">
        <v>158</v>
      </c>
      <c r="D9" s="387"/>
      <c r="E9" s="387"/>
      <c r="F9" s="387"/>
      <c r="G9" s="387"/>
      <c r="H9" s="387"/>
      <c r="I9" s="387"/>
      <c r="J9" s="387"/>
      <c r="K9" s="387"/>
      <c r="L9" s="387"/>
      <c r="M9" s="387"/>
      <c r="N9" s="388"/>
      <c r="O9" s="169"/>
      <c r="P9" s="169"/>
      <c r="Q9" s="169"/>
      <c r="R9" s="169"/>
      <c r="S9" s="169"/>
      <c r="T9" s="169"/>
      <c r="U9" s="169"/>
      <c r="V9" s="169"/>
      <c r="W9" s="169"/>
      <c r="X9" s="169"/>
      <c r="Y9" s="162"/>
      <c r="Z9" s="170"/>
      <c r="AA9" s="168"/>
      <c r="AB9" s="168"/>
      <c r="AC9" s="168"/>
      <c r="AD9" s="168"/>
      <c r="AE9" s="168"/>
      <c r="AF9" s="168"/>
      <c r="AG9" s="168"/>
      <c r="AH9" s="168"/>
      <c r="AI9" s="168"/>
      <c r="AJ9" s="168"/>
      <c r="AK9" s="168"/>
      <c r="AL9" s="168"/>
      <c r="AM9" s="163"/>
      <c r="AN9" s="163"/>
      <c r="AO9" s="163"/>
      <c r="AP9" s="163"/>
      <c r="AQ9" s="163"/>
      <c r="AR9" s="163"/>
      <c r="AS9" s="163"/>
      <c r="AT9" s="163"/>
      <c r="AU9" s="163"/>
      <c r="AV9" s="163"/>
      <c r="AW9" s="171"/>
      <c r="AX9" s="163"/>
      <c r="AY9" s="163"/>
      <c r="AZ9" s="165"/>
      <c r="BA9" s="165"/>
      <c r="BB9" s="165"/>
      <c r="BC9" s="165"/>
      <c r="BD9" s="172"/>
      <c r="BE9" s="172"/>
      <c r="BF9" s="169"/>
      <c r="BG9" s="169"/>
      <c r="BH9" s="169"/>
      <c r="BI9" s="169"/>
      <c r="BJ9" s="169"/>
      <c r="BK9" s="169"/>
      <c r="BL9" s="173"/>
    </row>
    <row r="10" spans="3:64">
      <c r="D10" s="169"/>
      <c r="E10" s="160"/>
      <c r="F10" s="160"/>
      <c r="G10" s="160"/>
      <c r="H10" s="160"/>
      <c r="N10" s="289"/>
      <c r="O10" s="174"/>
      <c r="P10" s="174"/>
      <c r="Q10" s="174"/>
      <c r="R10" s="174"/>
      <c r="S10" s="174"/>
      <c r="T10" s="174"/>
      <c r="U10" s="174"/>
      <c r="V10" s="174"/>
      <c r="W10" s="174"/>
      <c r="X10" s="175"/>
      <c r="Y10" s="176" t="s">
        <v>21</v>
      </c>
      <c r="Z10" s="177">
        <f t="shared" ref="Z10:Z15" si="0">C10</f>
        <v>0</v>
      </c>
      <c r="AA10" s="178">
        <v>2</v>
      </c>
      <c r="AB10" s="178">
        <f t="shared" ref="AB10:AK10" si="1">AA10+1</f>
        <v>3</v>
      </c>
      <c r="AC10" s="178">
        <f t="shared" si="1"/>
        <v>4</v>
      </c>
      <c r="AD10" s="178">
        <f t="shared" si="1"/>
        <v>5</v>
      </c>
      <c r="AE10" s="178">
        <f t="shared" si="1"/>
        <v>6</v>
      </c>
      <c r="AF10" s="178">
        <f t="shared" si="1"/>
        <v>7</v>
      </c>
      <c r="AG10" s="178">
        <f t="shared" si="1"/>
        <v>8</v>
      </c>
      <c r="AH10" s="178">
        <f t="shared" si="1"/>
        <v>9</v>
      </c>
      <c r="AI10" s="178">
        <f t="shared" si="1"/>
        <v>10</v>
      </c>
      <c r="AJ10" s="178">
        <f t="shared" si="1"/>
        <v>11</v>
      </c>
      <c r="AK10" s="178">
        <f t="shared" si="1"/>
        <v>12</v>
      </c>
      <c r="AL10" s="179"/>
      <c r="AM10" s="163"/>
      <c r="AN10" s="163"/>
      <c r="AO10" s="171"/>
      <c r="AP10" s="171"/>
      <c r="AQ10" s="171"/>
      <c r="AR10" s="171"/>
      <c r="AS10" s="171"/>
      <c r="AT10" s="171"/>
      <c r="AU10" s="171"/>
      <c r="AV10" s="171"/>
      <c r="AW10" s="171"/>
      <c r="AX10" s="171"/>
      <c r="AY10" s="171"/>
      <c r="AZ10" s="172"/>
      <c r="BA10" s="172"/>
      <c r="BB10" s="172"/>
      <c r="BC10" s="172"/>
      <c r="BD10" s="172"/>
      <c r="BE10" s="172"/>
      <c r="BF10" s="169"/>
      <c r="BG10" s="169"/>
      <c r="BH10" s="169"/>
      <c r="BI10" s="169"/>
      <c r="BJ10" s="169"/>
      <c r="BK10" s="169"/>
      <c r="BL10" s="173"/>
    </row>
    <row r="11" spans="3:64" ht="17.25" customHeight="1" thickBot="1">
      <c r="C11" s="180"/>
      <c r="H11" s="181" t="str">
        <f>X_YearOne</f>
        <v>2019-20</v>
      </c>
      <c r="I11" s="181" t="str">
        <f>INDEX(X_Enrollment,1,3)</f>
        <v>2020-21</v>
      </c>
      <c r="J11" s="181" t="str">
        <f>INDEX(X_Enrollment,1,4)</f>
        <v>2021-22</v>
      </c>
      <c r="K11" s="181" t="str">
        <f>INDEX(X_Enrollment,1,5)</f>
        <v>2022-23</v>
      </c>
      <c r="L11" s="181" t="str">
        <f>INDEX(X_Enrollment,1,6)</f>
        <v>2023-24</v>
      </c>
      <c r="M11" s="181"/>
      <c r="N11" s="213" t="s">
        <v>20</v>
      </c>
      <c r="O11" s="182"/>
      <c r="P11" s="182"/>
      <c r="Q11" s="182"/>
      <c r="R11" s="182"/>
      <c r="S11" s="182"/>
      <c r="T11" s="182"/>
      <c r="U11" s="182"/>
      <c r="V11" s="182"/>
      <c r="W11" s="182"/>
      <c r="X11" s="182"/>
      <c r="Y11" s="183" t="s">
        <v>21</v>
      </c>
      <c r="Z11" s="184">
        <f t="shared" si="0"/>
        <v>0</v>
      </c>
      <c r="AA11" s="185"/>
      <c r="AB11" s="185" t="str">
        <f>H11</f>
        <v>2019-20</v>
      </c>
      <c r="AC11" s="185" t="str">
        <f>I11</f>
        <v>2020-21</v>
      </c>
      <c r="AD11" s="185" t="str">
        <f>J11</f>
        <v>2021-22</v>
      </c>
      <c r="AE11" s="185" t="str">
        <f>K11</f>
        <v>2022-23</v>
      </c>
      <c r="AF11" s="185" t="str">
        <f>L11</f>
        <v>2023-24</v>
      </c>
      <c r="AG11" s="185"/>
      <c r="AH11" s="185"/>
      <c r="AI11" s="185"/>
      <c r="AJ11" s="185"/>
      <c r="AK11" s="185"/>
      <c r="AL11" s="186"/>
      <c r="AM11" s="171"/>
      <c r="AN11" s="171"/>
      <c r="AO11" s="171"/>
      <c r="AP11" s="171"/>
      <c r="AQ11" s="171"/>
      <c r="AR11" s="171"/>
      <c r="AS11" s="171"/>
      <c r="AT11" s="171"/>
      <c r="AU11" s="171"/>
      <c r="AV11" s="171"/>
      <c r="AW11" s="171"/>
      <c r="AX11" s="171"/>
      <c r="AY11" s="171"/>
      <c r="AZ11" s="172"/>
      <c r="BA11" s="172"/>
      <c r="BB11" s="172"/>
      <c r="BC11" s="172"/>
      <c r="BD11" s="172"/>
      <c r="BE11" s="172"/>
      <c r="BF11" s="169"/>
      <c r="BG11" s="169"/>
      <c r="BH11" s="169"/>
      <c r="BI11" s="169"/>
      <c r="BJ11" s="169"/>
      <c r="BK11" s="169"/>
      <c r="BL11" s="173"/>
    </row>
    <row r="12" spans="3:64" ht="9.9499999999999993" customHeight="1">
      <c r="C12" s="180"/>
      <c r="E12" s="389" t="s">
        <v>22</v>
      </c>
      <c r="F12" s="390"/>
      <c r="H12" s="181"/>
      <c r="I12" s="181"/>
      <c r="J12" s="181"/>
      <c r="K12" s="181"/>
      <c r="L12" s="181"/>
      <c r="M12" s="213"/>
      <c r="N12" s="290"/>
      <c r="O12" s="182"/>
      <c r="P12" s="182"/>
      <c r="Q12" s="182"/>
      <c r="R12" s="182"/>
      <c r="S12" s="182"/>
      <c r="T12" s="182"/>
      <c r="U12" s="182"/>
      <c r="V12" s="182"/>
      <c r="W12" s="182"/>
      <c r="X12" s="182"/>
      <c r="Y12" s="183" t="s">
        <v>21</v>
      </c>
      <c r="Z12" s="184">
        <f t="shared" si="0"/>
        <v>0</v>
      </c>
      <c r="AA12" s="185"/>
      <c r="AB12" s="185"/>
      <c r="AC12" s="185"/>
      <c r="AD12" s="185"/>
      <c r="AE12" s="185"/>
      <c r="AF12" s="185"/>
      <c r="AG12" s="185"/>
      <c r="AH12" s="185"/>
      <c r="AI12" s="185"/>
      <c r="AJ12" s="185"/>
      <c r="AK12" s="185"/>
      <c r="AL12" s="186"/>
      <c r="AM12" s="171"/>
      <c r="AN12" s="171"/>
      <c r="AO12" s="171"/>
      <c r="AP12" s="171"/>
      <c r="AQ12" s="171"/>
      <c r="AR12" s="171"/>
      <c r="AS12" s="171"/>
      <c r="AT12" s="171"/>
      <c r="AU12" s="171"/>
      <c r="AV12" s="171"/>
      <c r="AW12" s="171"/>
      <c r="AX12" s="171"/>
      <c r="AY12" s="171"/>
      <c r="AZ12" s="172"/>
      <c r="BA12" s="172"/>
      <c r="BB12" s="172"/>
      <c r="BC12" s="172"/>
      <c r="BD12" s="172"/>
      <c r="BE12" s="172"/>
      <c r="BF12" s="169"/>
      <c r="BG12" s="169"/>
      <c r="BH12" s="169"/>
      <c r="BI12" s="169"/>
      <c r="BJ12" s="169"/>
      <c r="BK12" s="169"/>
      <c r="BL12" s="173"/>
    </row>
    <row r="13" spans="3:64" ht="15" customHeight="1" thickBot="1">
      <c r="C13" s="180"/>
      <c r="E13" s="391"/>
      <c r="F13" s="392"/>
      <c r="H13" s="182"/>
      <c r="I13" s="182"/>
      <c r="J13" s="182"/>
      <c r="K13" s="182"/>
      <c r="L13" s="182"/>
      <c r="M13" s="217"/>
      <c r="N13" s="290"/>
      <c r="O13" s="182"/>
      <c r="P13" s="182"/>
      <c r="Q13" s="182"/>
      <c r="R13" s="182"/>
      <c r="S13" s="182"/>
      <c r="T13" s="182"/>
      <c r="U13" s="182"/>
      <c r="V13" s="182"/>
      <c r="W13" s="182"/>
      <c r="X13" s="182"/>
      <c r="Y13" s="183" t="s">
        <v>21</v>
      </c>
      <c r="Z13" s="184">
        <f t="shared" si="0"/>
        <v>0</v>
      </c>
      <c r="AA13" s="187"/>
      <c r="AB13" s="188"/>
      <c r="AC13" s="188"/>
      <c r="AD13" s="188"/>
      <c r="AE13" s="188"/>
      <c r="AF13" s="188"/>
      <c r="AG13" s="188"/>
      <c r="AH13" s="188"/>
      <c r="AI13" s="188"/>
      <c r="AJ13" s="188"/>
      <c r="AK13" s="188"/>
      <c r="AL13" s="186"/>
      <c r="AM13" s="171"/>
      <c r="AN13" s="171"/>
      <c r="AO13" s="171"/>
      <c r="AP13" s="171"/>
      <c r="AQ13" s="171"/>
      <c r="AR13" s="171"/>
      <c r="AS13" s="171"/>
      <c r="AT13" s="171"/>
      <c r="AU13" s="171"/>
      <c r="AV13" s="171"/>
      <c r="AW13" s="171"/>
      <c r="AX13" s="171"/>
      <c r="AY13" s="171"/>
      <c r="AZ13" s="172"/>
      <c r="BA13" s="172"/>
      <c r="BB13" s="172"/>
      <c r="BC13" s="172"/>
      <c r="BD13" s="172"/>
      <c r="BE13" s="172"/>
      <c r="BF13" s="169"/>
      <c r="BG13" s="169"/>
      <c r="BH13" s="169"/>
      <c r="BI13" s="169"/>
      <c r="BJ13" s="169"/>
      <c r="BK13" s="169"/>
      <c r="BL13" s="173"/>
    </row>
    <row r="14" spans="3:64" ht="15" customHeight="1">
      <c r="C14" s="180"/>
      <c r="E14" s="190">
        <v>1</v>
      </c>
      <c r="F14" s="191" t="s">
        <v>18</v>
      </c>
      <c r="H14" s="189"/>
      <c r="I14" s="189"/>
      <c r="J14" s="189"/>
      <c r="K14" s="189"/>
      <c r="L14" s="189"/>
      <c r="M14" s="217"/>
      <c r="N14" s="291"/>
      <c r="O14" s="169"/>
      <c r="P14" s="169"/>
      <c r="Q14" s="169"/>
      <c r="R14" s="169"/>
      <c r="S14" s="169"/>
      <c r="T14" s="169"/>
      <c r="U14" s="169"/>
      <c r="V14" s="169"/>
      <c r="W14" s="169"/>
      <c r="X14" s="169"/>
      <c r="Y14" s="183" t="s">
        <v>21</v>
      </c>
      <c r="Z14" s="184">
        <f t="shared" si="0"/>
        <v>0</v>
      </c>
      <c r="AA14" s="187"/>
      <c r="AB14" s="188"/>
      <c r="AC14" s="188"/>
      <c r="AD14" s="188"/>
      <c r="AE14" s="188"/>
      <c r="AF14" s="188"/>
      <c r="AG14" s="188"/>
      <c r="AH14" s="188"/>
      <c r="AI14" s="188"/>
      <c r="AJ14" s="188"/>
      <c r="AK14" s="188"/>
      <c r="AL14" s="186"/>
      <c r="AM14" s="171"/>
      <c r="AN14" s="171"/>
      <c r="AO14" s="171"/>
      <c r="AP14" s="171"/>
      <c r="AQ14" s="171"/>
      <c r="AR14" s="171"/>
      <c r="AS14" s="171"/>
      <c r="AT14" s="171"/>
      <c r="AU14" s="171"/>
      <c r="AV14" s="171"/>
      <c r="AW14" s="171"/>
      <c r="AX14" s="171"/>
      <c r="AY14" s="171"/>
      <c r="AZ14" s="172"/>
      <c r="BA14" s="172"/>
      <c r="BB14" s="172"/>
      <c r="BC14" s="172"/>
      <c r="BD14" s="172"/>
      <c r="BE14" s="172"/>
      <c r="BF14" s="169"/>
      <c r="BG14" s="169"/>
      <c r="BH14" s="169"/>
      <c r="BI14" s="169"/>
      <c r="BJ14" s="169"/>
      <c r="BK14" s="169"/>
      <c r="BL14" s="173"/>
    </row>
    <row r="15" spans="3:64" ht="15" customHeight="1">
      <c r="C15" s="180"/>
      <c r="E15" s="302">
        <v>2</v>
      </c>
      <c r="F15" s="303" t="s">
        <v>243</v>
      </c>
      <c r="I15" s="189"/>
      <c r="J15" s="189"/>
      <c r="K15" s="189"/>
      <c r="L15" s="189"/>
      <c r="M15" s="217"/>
      <c r="N15" s="291"/>
      <c r="O15" s="169"/>
      <c r="P15" s="169"/>
      <c r="Q15" s="169"/>
      <c r="R15" s="169"/>
      <c r="S15" s="169"/>
      <c r="T15" s="169"/>
      <c r="U15" s="169"/>
      <c r="V15" s="169"/>
      <c r="W15" s="169"/>
      <c r="X15" s="169"/>
      <c r="Y15" s="183" t="s">
        <v>21</v>
      </c>
      <c r="Z15" s="184">
        <f t="shared" si="0"/>
        <v>0</v>
      </c>
      <c r="AA15" s="187"/>
      <c r="AB15" s="188"/>
      <c r="AC15" s="188"/>
      <c r="AD15" s="188"/>
      <c r="AE15" s="188"/>
      <c r="AF15" s="188"/>
      <c r="AG15" s="188"/>
      <c r="AH15" s="188"/>
      <c r="AI15" s="188"/>
      <c r="AJ15" s="188"/>
      <c r="AK15" s="188"/>
      <c r="AL15" s="186"/>
      <c r="AM15" s="171"/>
      <c r="AN15" s="171"/>
      <c r="AO15" s="171"/>
      <c r="AP15" s="171"/>
      <c r="AQ15" s="171"/>
      <c r="AR15" s="171"/>
      <c r="AS15" s="171"/>
      <c r="AT15" s="171"/>
      <c r="AU15" s="171"/>
      <c r="AV15" s="171"/>
      <c r="AW15" s="171"/>
      <c r="AX15" s="171"/>
      <c r="AY15" s="171"/>
      <c r="AZ15" s="172"/>
      <c r="BA15" s="172"/>
      <c r="BB15" s="172"/>
      <c r="BC15" s="172"/>
      <c r="BD15" s="172"/>
      <c r="BE15" s="172"/>
      <c r="BF15" s="169"/>
      <c r="BG15" s="169"/>
      <c r="BH15" s="169"/>
      <c r="BI15" s="169"/>
      <c r="BJ15" s="169"/>
      <c r="BK15" s="169"/>
      <c r="BL15" s="173"/>
    </row>
    <row r="16" spans="3:64" ht="15" customHeight="1" thickBot="1">
      <c r="C16" s="180"/>
      <c r="E16" s="304">
        <v>3</v>
      </c>
      <c r="F16" s="305" t="s">
        <v>19</v>
      </c>
      <c r="I16" s="189"/>
      <c r="J16" s="189"/>
      <c r="K16" s="189"/>
      <c r="L16" s="189"/>
      <c r="M16" s="217"/>
      <c r="N16" s="291"/>
      <c r="O16" s="169"/>
      <c r="P16" s="169"/>
      <c r="Q16" s="169"/>
      <c r="R16" s="169"/>
      <c r="S16" s="169"/>
      <c r="T16" s="169"/>
      <c r="U16" s="169"/>
      <c r="V16" s="169"/>
      <c r="W16" s="169"/>
      <c r="X16" s="169"/>
      <c r="Y16" s="183"/>
      <c r="Z16" s="184"/>
      <c r="AA16" s="300"/>
      <c r="AB16" s="301"/>
      <c r="AC16" s="301"/>
      <c r="AD16" s="301"/>
      <c r="AE16" s="301"/>
      <c r="AF16" s="301"/>
      <c r="AG16" s="301"/>
      <c r="AH16" s="301"/>
      <c r="AI16" s="301"/>
      <c r="AJ16" s="301"/>
      <c r="AK16" s="301"/>
      <c r="AL16" s="186"/>
      <c r="AM16" s="171"/>
      <c r="AN16" s="171"/>
      <c r="AO16" s="171"/>
      <c r="AP16" s="171"/>
      <c r="AQ16" s="171"/>
      <c r="AR16" s="171"/>
      <c r="AS16" s="171"/>
      <c r="AT16" s="171"/>
      <c r="AU16" s="171"/>
      <c r="AV16" s="171"/>
      <c r="AW16" s="171"/>
      <c r="AX16" s="171"/>
      <c r="AY16" s="171"/>
      <c r="AZ16" s="172"/>
      <c r="BA16" s="172"/>
      <c r="BB16" s="172"/>
      <c r="BC16" s="172"/>
      <c r="BD16" s="172"/>
      <c r="BE16" s="172"/>
      <c r="BF16" s="169"/>
      <c r="BG16" s="169"/>
      <c r="BH16" s="169"/>
      <c r="BI16" s="169"/>
      <c r="BJ16" s="169"/>
      <c r="BK16" s="169"/>
      <c r="BL16" s="173"/>
    </row>
    <row r="17" spans="3:64" ht="6" customHeight="1">
      <c r="C17" s="180"/>
      <c r="D17" s="180"/>
      <c r="E17" s="180"/>
      <c r="F17" s="180"/>
      <c r="I17" s="189"/>
      <c r="J17" s="189"/>
      <c r="K17" s="189"/>
      <c r="L17" s="189"/>
      <c r="M17" s="217"/>
      <c r="N17" s="291"/>
      <c r="O17" s="169"/>
      <c r="P17" s="169"/>
      <c r="Q17" s="169"/>
      <c r="R17" s="169"/>
      <c r="S17" s="169"/>
      <c r="T17" s="169"/>
      <c r="U17" s="169"/>
      <c r="V17" s="169"/>
      <c r="W17" s="169"/>
      <c r="X17" s="169"/>
      <c r="Y17" s="183"/>
      <c r="Z17" s="184"/>
      <c r="AA17" s="215"/>
      <c r="AB17" s="216"/>
      <c r="AC17" s="216"/>
      <c r="AD17" s="216"/>
      <c r="AE17" s="216"/>
      <c r="AF17" s="216"/>
      <c r="AG17" s="216"/>
      <c r="AH17" s="216"/>
      <c r="AI17" s="216"/>
      <c r="AJ17" s="216"/>
      <c r="AK17" s="216"/>
      <c r="AL17" s="186"/>
      <c r="AM17" s="171"/>
      <c r="AN17" s="171"/>
      <c r="AO17" s="171"/>
      <c r="AP17" s="171"/>
      <c r="AQ17" s="171"/>
      <c r="AR17" s="171"/>
      <c r="AS17" s="171"/>
      <c r="AT17" s="171"/>
      <c r="AU17" s="171"/>
      <c r="AV17" s="171"/>
      <c r="AW17" s="171"/>
      <c r="AX17" s="171"/>
      <c r="AY17" s="171"/>
      <c r="AZ17" s="172"/>
      <c r="BA17" s="172"/>
      <c r="BB17" s="172"/>
      <c r="BC17" s="172"/>
      <c r="BD17" s="172"/>
      <c r="BE17" s="172"/>
      <c r="BF17" s="169"/>
      <c r="BG17" s="169"/>
      <c r="BH17" s="169"/>
      <c r="BI17" s="169"/>
      <c r="BJ17" s="169"/>
      <c r="BK17" s="169"/>
      <c r="BL17" s="173"/>
    </row>
    <row r="18" spans="3:64" ht="15" customHeight="1">
      <c r="C18" s="180"/>
      <c r="H18" s="393" t="s">
        <v>198</v>
      </c>
      <c r="I18" s="394"/>
      <c r="J18" s="394"/>
      <c r="K18" s="394"/>
      <c r="L18" s="395"/>
      <c r="M18" s="217"/>
      <c r="N18" s="291"/>
      <c r="O18" s="169"/>
      <c r="P18" s="169"/>
      <c r="Q18" s="169"/>
      <c r="R18" s="169"/>
      <c r="S18" s="169"/>
      <c r="T18" s="169"/>
      <c r="U18" s="169"/>
      <c r="V18" s="169"/>
      <c r="W18" s="169"/>
      <c r="X18" s="169"/>
      <c r="Y18" s="183" t="s">
        <v>21</v>
      </c>
      <c r="Z18" s="184">
        <f>C18</f>
        <v>0</v>
      </c>
      <c r="AA18" s="187"/>
      <c r="AB18" s="188"/>
      <c r="AC18" s="188"/>
      <c r="AD18" s="188"/>
      <c r="AE18" s="188"/>
      <c r="AF18" s="188"/>
      <c r="AG18" s="188"/>
      <c r="AH18" s="188"/>
      <c r="AI18" s="188"/>
      <c r="AJ18" s="188"/>
      <c r="AK18" s="188"/>
      <c r="AL18" s="186"/>
      <c r="AM18" s="171"/>
      <c r="AN18" s="171"/>
      <c r="AO18" s="171"/>
      <c r="AP18" s="171"/>
      <c r="AQ18" s="171"/>
      <c r="AR18" s="171"/>
      <c r="AS18" s="171"/>
      <c r="AT18" s="171"/>
      <c r="AU18" s="171"/>
      <c r="AV18" s="171"/>
      <c r="AW18" s="171"/>
      <c r="AX18" s="171"/>
      <c r="AY18" s="171"/>
      <c r="AZ18" s="172"/>
      <c r="BA18" s="172"/>
      <c r="BB18" s="172"/>
      <c r="BC18" s="172"/>
      <c r="BD18" s="172"/>
      <c r="BE18" s="172"/>
      <c r="BF18" s="169"/>
      <c r="BG18" s="169"/>
      <c r="BH18" s="169"/>
      <c r="BI18" s="169"/>
      <c r="BJ18" s="169"/>
      <c r="BK18" s="169"/>
      <c r="BL18" s="173"/>
    </row>
    <row r="19" spans="3:64" ht="15" customHeight="1">
      <c r="C19" s="344" t="s">
        <v>10</v>
      </c>
      <c r="E19" s="165"/>
      <c r="F19" s="165"/>
      <c r="H19" s="396"/>
      <c r="I19" s="397"/>
      <c r="J19" s="397"/>
      <c r="K19" s="397"/>
      <c r="L19" s="398"/>
      <c r="M19" s="217"/>
      <c r="N19" s="291"/>
      <c r="O19" s="169"/>
      <c r="P19" s="169"/>
      <c r="Q19" s="169"/>
      <c r="R19" s="169"/>
      <c r="S19" s="169"/>
      <c r="T19" s="169"/>
      <c r="U19" s="169"/>
      <c r="V19" s="169"/>
      <c r="W19" s="169"/>
      <c r="X19" s="169"/>
      <c r="Y19" s="183" t="s">
        <v>21</v>
      </c>
      <c r="Z19" s="184" t="str">
        <f>C19</f>
        <v>REVENUE</v>
      </c>
      <c r="AA19" s="187"/>
      <c r="AB19" s="187">
        <f>F19+SUM(F19*H19)</f>
        <v>0</v>
      </c>
      <c r="AC19" s="187">
        <f t="shared" ref="AC19:AK19" si="2">AB19+SUM(AB19*I19)</f>
        <v>0</v>
      </c>
      <c r="AD19" s="187">
        <f t="shared" si="2"/>
        <v>0</v>
      </c>
      <c r="AE19" s="187">
        <f t="shared" si="2"/>
        <v>0</v>
      </c>
      <c r="AF19" s="187">
        <f t="shared" si="2"/>
        <v>0</v>
      </c>
      <c r="AG19" s="187">
        <f t="shared" si="2"/>
        <v>0</v>
      </c>
      <c r="AH19" s="187">
        <f t="shared" si="2"/>
        <v>0</v>
      </c>
      <c r="AI19" s="187">
        <f t="shared" si="2"/>
        <v>0</v>
      </c>
      <c r="AJ19" s="187">
        <f t="shared" si="2"/>
        <v>0</v>
      </c>
      <c r="AK19" s="187">
        <f t="shared" si="2"/>
        <v>0</v>
      </c>
      <c r="AL19" s="186"/>
      <c r="AM19" s="171"/>
      <c r="AN19" s="171"/>
      <c r="AO19" s="171"/>
      <c r="AP19" s="171"/>
      <c r="AQ19" s="171"/>
      <c r="AR19" s="171"/>
      <c r="AS19" s="171"/>
      <c r="AT19" s="171"/>
      <c r="AU19" s="171"/>
      <c r="AV19" s="171"/>
      <c r="AW19" s="171"/>
      <c r="AX19" s="171"/>
      <c r="AY19" s="171"/>
      <c r="AZ19" s="172"/>
      <c r="BA19" s="172"/>
      <c r="BB19" s="172"/>
      <c r="BC19" s="172"/>
      <c r="BD19" s="172"/>
      <c r="BE19" s="172"/>
      <c r="BF19" s="169"/>
      <c r="BG19" s="169"/>
      <c r="BH19" s="169"/>
      <c r="BI19" s="169"/>
      <c r="BJ19" s="169"/>
      <c r="BK19" s="169"/>
      <c r="BL19" s="173"/>
    </row>
    <row r="20" spans="3:64" ht="15" customHeight="1">
      <c r="C20" s="192" t="s">
        <v>245</v>
      </c>
      <c r="E20" s="319"/>
      <c r="F20" s="320"/>
      <c r="H20" s="189"/>
      <c r="I20" s="193"/>
      <c r="J20" s="193"/>
      <c r="K20" s="193"/>
      <c r="L20" s="193"/>
      <c r="M20" s="217"/>
      <c r="N20" s="291"/>
      <c r="Y20" s="183" t="s">
        <v>21</v>
      </c>
      <c r="Z20" s="184" t="str">
        <f>C20</f>
        <v>1000 - LOCAL TAXES</v>
      </c>
      <c r="AA20" s="187"/>
      <c r="AB20" s="187">
        <f>F20+SUM(F20*H20)</f>
        <v>0</v>
      </c>
      <c r="AC20" s="187">
        <f>AB20+SUM(AB20*I20)</f>
        <v>0</v>
      </c>
      <c r="AD20" s="187">
        <f>AC20+SUM(AC20*J20)</f>
        <v>0</v>
      </c>
      <c r="AE20" s="187">
        <f>AD20+SUM(AD20*K20)</f>
        <v>0</v>
      </c>
      <c r="AF20" s="187">
        <f>AE20+SUM(AE20*L20)</f>
        <v>0</v>
      </c>
      <c r="AG20" s="187">
        <f t="shared" ref="AG20:AG38" si="3">AF20+SUM(AF20*M20)</f>
        <v>0</v>
      </c>
      <c r="AH20" s="187">
        <f t="shared" ref="AH20:AH38" si="4">AG20+SUM(AG20*N20)</f>
        <v>0</v>
      </c>
      <c r="AI20" s="187">
        <f t="shared" ref="AI20:AI38" si="5">AH20+SUM(AH20*O20)</f>
        <v>0</v>
      </c>
      <c r="AJ20" s="187">
        <f t="shared" ref="AJ20:AJ38" si="6">AI20+SUM(AI20*P20)</f>
        <v>0</v>
      </c>
      <c r="AK20" s="187">
        <f t="shared" ref="AK20:AK38" si="7">AJ20+SUM(AJ20*Q20)</f>
        <v>0</v>
      </c>
      <c r="AL20" s="194"/>
      <c r="AM20" s="163"/>
      <c r="AN20" s="163"/>
      <c r="AO20" s="163"/>
      <c r="AP20" s="163"/>
      <c r="AQ20" s="163"/>
      <c r="AR20" s="163"/>
      <c r="AS20" s="163"/>
      <c r="AT20" s="163"/>
      <c r="AU20" s="163"/>
      <c r="AV20" s="163"/>
      <c r="AW20" s="163"/>
      <c r="AX20" s="163"/>
      <c r="AY20" s="163"/>
      <c r="AZ20" s="165"/>
      <c r="BA20" s="165"/>
      <c r="BB20" s="165"/>
      <c r="BC20" s="165"/>
      <c r="BD20" s="165"/>
      <c r="BE20" s="165"/>
    </row>
    <row r="21" spans="3:64" ht="15" customHeight="1">
      <c r="C21" s="321" t="s">
        <v>246</v>
      </c>
      <c r="E21" s="2"/>
      <c r="F21" s="50">
        <v>0</v>
      </c>
      <c r="H21" s="51">
        <v>0</v>
      </c>
      <c r="I21" s="51">
        <v>0</v>
      </c>
      <c r="J21" s="51">
        <v>0</v>
      </c>
      <c r="K21" s="51">
        <v>0</v>
      </c>
      <c r="L21" s="51">
        <v>0</v>
      </c>
      <c r="M21" s="217"/>
      <c r="N21" s="292"/>
      <c r="Y21" s="183" t="s">
        <v>21</v>
      </c>
      <c r="Z21" s="184" t="str">
        <f t="shared" ref="Z21:Z38" si="8">C21</f>
        <v>1100 - Local Property Tax</v>
      </c>
      <c r="AA21" s="318"/>
      <c r="AB21" s="187">
        <f t="shared" ref="AB21:AB37" si="9">F21+SUM(F21*H21)</f>
        <v>0</v>
      </c>
      <c r="AC21" s="187">
        <f t="shared" ref="AC21:AC38" si="10">AB21+SUM(AB21*I21)</f>
        <v>0</v>
      </c>
      <c r="AD21" s="187">
        <f t="shared" ref="AD21:AD38" si="11">AC21+SUM(AC21*J21)</f>
        <v>0</v>
      </c>
      <c r="AE21" s="187">
        <f t="shared" ref="AE21:AE38" si="12">AD21+SUM(AD21*K21)</f>
        <v>0</v>
      </c>
      <c r="AF21" s="187">
        <f t="shared" ref="AF21:AF38" si="13">AE21+SUM(AE21*L21)</f>
        <v>0</v>
      </c>
      <c r="AG21" s="187">
        <f t="shared" si="3"/>
        <v>0</v>
      </c>
      <c r="AH21" s="187">
        <f t="shared" si="4"/>
        <v>0</v>
      </c>
      <c r="AI21" s="187">
        <f t="shared" si="5"/>
        <v>0</v>
      </c>
      <c r="AJ21" s="187">
        <f t="shared" si="6"/>
        <v>0</v>
      </c>
      <c r="AK21" s="187">
        <f t="shared" si="7"/>
        <v>0</v>
      </c>
      <c r="AL21" s="194"/>
      <c r="AM21" s="163"/>
      <c r="AN21" s="163"/>
      <c r="AO21" s="163"/>
      <c r="AP21" s="163"/>
      <c r="AQ21" s="163"/>
      <c r="AR21" s="163"/>
      <c r="AS21" s="163"/>
      <c r="AT21" s="163"/>
      <c r="AU21" s="163"/>
      <c r="AV21" s="163"/>
      <c r="AW21" s="163"/>
      <c r="AX21" s="163"/>
      <c r="AY21" s="163"/>
      <c r="AZ21" s="165"/>
      <c r="BA21" s="165"/>
      <c r="BB21" s="165"/>
      <c r="BC21" s="165"/>
      <c r="BD21" s="165"/>
      <c r="BE21" s="165"/>
    </row>
    <row r="22" spans="3:64" ht="15" customHeight="1">
      <c r="C22" s="321" t="s">
        <v>247</v>
      </c>
      <c r="E22" s="2"/>
      <c r="F22" s="50">
        <v>0</v>
      </c>
      <c r="H22" s="51">
        <v>0</v>
      </c>
      <c r="I22" s="51">
        <v>0</v>
      </c>
      <c r="J22" s="51">
        <v>0</v>
      </c>
      <c r="K22" s="51">
        <v>0</v>
      </c>
      <c r="L22" s="51">
        <v>0</v>
      </c>
      <c r="M22" s="217"/>
      <c r="N22" s="292"/>
      <c r="Y22" s="183" t="s">
        <v>21</v>
      </c>
      <c r="Z22" s="184" t="str">
        <f t="shared" si="8"/>
        <v>1900 - Other Local Taxes</v>
      </c>
      <c r="AA22" s="318"/>
      <c r="AB22" s="187">
        <f t="shared" si="9"/>
        <v>0</v>
      </c>
      <c r="AC22" s="187">
        <f t="shared" si="10"/>
        <v>0</v>
      </c>
      <c r="AD22" s="187">
        <f t="shared" si="11"/>
        <v>0</v>
      </c>
      <c r="AE22" s="187">
        <f t="shared" si="12"/>
        <v>0</v>
      </c>
      <c r="AF22" s="187">
        <f t="shared" si="13"/>
        <v>0</v>
      </c>
      <c r="AG22" s="187">
        <f t="shared" si="3"/>
        <v>0</v>
      </c>
      <c r="AH22" s="187">
        <f t="shared" si="4"/>
        <v>0</v>
      </c>
      <c r="AI22" s="187">
        <f t="shared" si="5"/>
        <v>0</v>
      </c>
      <c r="AJ22" s="187">
        <f t="shared" si="6"/>
        <v>0</v>
      </c>
      <c r="AK22" s="187">
        <f t="shared" si="7"/>
        <v>0</v>
      </c>
      <c r="AL22" s="194"/>
      <c r="AM22" s="163"/>
      <c r="AN22" s="163"/>
      <c r="AO22" s="163"/>
      <c r="AP22" s="163"/>
      <c r="AQ22" s="163"/>
      <c r="AR22" s="163"/>
      <c r="AS22" s="163"/>
      <c r="AT22" s="163"/>
      <c r="AU22" s="163"/>
      <c r="AV22" s="163"/>
      <c r="AW22" s="163"/>
      <c r="AX22" s="163"/>
      <c r="AY22" s="163"/>
      <c r="AZ22" s="165"/>
      <c r="BA22" s="165"/>
      <c r="BB22" s="165"/>
      <c r="BC22" s="165"/>
      <c r="BD22" s="165"/>
      <c r="BE22" s="165"/>
    </row>
    <row r="23" spans="3:64" ht="15" customHeight="1">
      <c r="C23" s="211" t="str">
        <f>"Custom "&amp;MID(C20,8,100)</f>
        <v>Custom LOCAL TAXES</v>
      </c>
      <c r="E23" s="2"/>
      <c r="F23" s="50">
        <v>0</v>
      </c>
      <c r="H23" s="51">
        <v>0</v>
      </c>
      <c r="I23" s="51">
        <v>0</v>
      </c>
      <c r="J23" s="51">
        <v>0</v>
      </c>
      <c r="K23" s="51">
        <v>0</v>
      </c>
      <c r="L23" s="51">
        <v>0</v>
      </c>
      <c r="M23" s="217"/>
      <c r="N23" s="292"/>
      <c r="Y23" s="183" t="s">
        <v>21</v>
      </c>
      <c r="Z23" s="184" t="str">
        <f t="shared" si="8"/>
        <v>Custom LOCAL TAXES</v>
      </c>
      <c r="AA23" s="318"/>
      <c r="AB23" s="187">
        <f t="shared" si="9"/>
        <v>0</v>
      </c>
      <c r="AC23" s="187">
        <f t="shared" si="10"/>
        <v>0</v>
      </c>
      <c r="AD23" s="187">
        <f t="shared" si="11"/>
        <v>0</v>
      </c>
      <c r="AE23" s="187">
        <f t="shared" si="12"/>
        <v>0</v>
      </c>
      <c r="AF23" s="187">
        <f t="shared" si="13"/>
        <v>0</v>
      </c>
      <c r="AG23" s="187">
        <f t="shared" si="3"/>
        <v>0</v>
      </c>
      <c r="AH23" s="187">
        <f t="shared" si="4"/>
        <v>0</v>
      </c>
      <c r="AI23" s="187">
        <f t="shared" si="5"/>
        <v>0</v>
      </c>
      <c r="AJ23" s="187">
        <f t="shared" si="6"/>
        <v>0</v>
      </c>
      <c r="AK23" s="187">
        <f t="shared" si="7"/>
        <v>0</v>
      </c>
      <c r="AL23" s="194"/>
      <c r="AM23" s="163"/>
      <c r="AN23" s="163"/>
      <c r="AO23" s="163"/>
      <c r="AP23" s="163"/>
      <c r="AQ23" s="163"/>
      <c r="AR23" s="163"/>
      <c r="AS23" s="163"/>
      <c r="AT23" s="163"/>
      <c r="AU23" s="163"/>
      <c r="AV23" s="163"/>
      <c r="AW23" s="163"/>
      <c r="AX23" s="163"/>
      <c r="AY23" s="163"/>
      <c r="AZ23" s="165"/>
      <c r="BA23" s="165"/>
      <c r="BB23" s="165"/>
      <c r="BC23" s="165"/>
      <c r="BD23" s="165"/>
      <c r="BE23" s="165"/>
    </row>
    <row r="24" spans="3:64" ht="15" customHeight="1">
      <c r="C24" s="81" t="str">
        <f>"TOTAL "&amp;MID(C20,8,100)</f>
        <v>TOTAL LOCAL TAXES</v>
      </c>
      <c r="E24" s="319"/>
      <c r="F24" s="320"/>
      <c r="H24" s="189"/>
      <c r="I24" s="193"/>
      <c r="J24" s="193"/>
      <c r="K24" s="193"/>
      <c r="L24" s="193"/>
      <c r="M24" s="217"/>
      <c r="N24" s="292"/>
      <c r="Y24" s="183" t="s">
        <v>21</v>
      </c>
      <c r="Z24" s="184" t="str">
        <f t="shared" si="8"/>
        <v>TOTAL LOCAL TAXES</v>
      </c>
      <c r="AA24" s="318"/>
      <c r="AB24" s="187">
        <f t="shared" si="9"/>
        <v>0</v>
      </c>
      <c r="AC24" s="187">
        <f t="shared" si="10"/>
        <v>0</v>
      </c>
      <c r="AD24" s="187">
        <f t="shared" si="11"/>
        <v>0</v>
      </c>
      <c r="AE24" s="187">
        <f t="shared" si="12"/>
        <v>0</v>
      </c>
      <c r="AF24" s="187">
        <f t="shared" si="13"/>
        <v>0</v>
      </c>
      <c r="AG24" s="187">
        <f t="shared" si="3"/>
        <v>0</v>
      </c>
      <c r="AH24" s="187">
        <f t="shared" si="4"/>
        <v>0</v>
      </c>
      <c r="AI24" s="187">
        <f t="shared" si="5"/>
        <v>0</v>
      </c>
      <c r="AJ24" s="187">
        <f t="shared" si="6"/>
        <v>0</v>
      </c>
      <c r="AK24" s="187">
        <f t="shared" si="7"/>
        <v>0</v>
      </c>
      <c r="AL24" s="194"/>
      <c r="AM24" s="163"/>
      <c r="AN24" s="163"/>
      <c r="AO24" s="163"/>
      <c r="AP24" s="163"/>
      <c r="AQ24" s="163"/>
      <c r="AR24" s="163"/>
      <c r="AS24" s="163"/>
      <c r="AT24" s="163"/>
      <c r="AU24" s="163"/>
      <c r="AV24" s="163"/>
      <c r="AW24" s="163"/>
      <c r="AX24" s="163"/>
      <c r="AY24" s="163"/>
      <c r="AZ24" s="165"/>
      <c r="BA24" s="165"/>
      <c r="BB24" s="165"/>
      <c r="BC24" s="165"/>
      <c r="BD24" s="165"/>
      <c r="BE24" s="165"/>
    </row>
    <row r="25" spans="3:64" ht="6" customHeight="1">
      <c r="C25" s="280"/>
      <c r="E25" s="319"/>
      <c r="F25" s="320"/>
      <c r="H25" s="189"/>
      <c r="I25" s="193"/>
      <c r="J25" s="193"/>
      <c r="K25" s="193"/>
      <c r="L25" s="193"/>
      <c r="M25" s="217"/>
      <c r="N25" s="292"/>
      <c r="Y25" s="183" t="s">
        <v>21</v>
      </c>
      <c r="Z25" s="184">
        <f t="shared" si="8"/>
        <v>0</v>
      </c>
      <c r="AA25" s="318"/>
      <c r="AB25" s="187">
        <f t="shared" si="9"/>
        <v>0</v>
      </c>
      <c r="AC25" s="187">
        <f t="shared" si="10"/>
        <v>0</v>
      </c>
      <c r="AD25" s="187">
        <f t="shared" si="11"/>
        <v>0</v>
      </c>
      <c r="AE25" s="187">
        <f t="shared" si="12"/>
        <v>0</v>
      </c>
      <c r="AF25" s="187">
        <f t="shared" si="13"/>
        <v>0</v>
      </c>
      <c r="AG25" s="187">
        <f t="shared" si="3"/>
        <v>0</v>
      </c>
      <c r="AH25" s="187">
        <f t="shared" si="4"/>
        <v>0</v>
      </c>
      <c r="AI25" s="187">
        <f t="shared" si="5"/>
        <v>0</v>
      </c>
      <c r="AJ25" s="187">
        <f t="shared" si="6"/>
        <v>0</v>
      </c>
      <c r="AK25" s="187">
        <f t="shared" si="7"/>
        <v>0</v>
      </c>
      <c r="AL25" s="194"/>
      <c r="AM25" s="163"/>
      <c r="AN25" s="163"/>
      <c r="AO25" s="163"/>
      <c r="AP25" s="163"/>
      <c r="AQ25" s="163"/>
      <c r="AR25" s="163"/>
      <c r="AS25" s="163"/>
      <c r="AT25" s="163"/>
      <c r="AU25" s="163"/>
      <c r="AV25" s="163"/>
      <c r="AW25" s="163"/>
      <c r="AX25" s="163"/>
      <c r="AY25" s="163"/>
      <c r="AZ25" s="165"/>
      <c r="BA25" s="165"/>
      <c r="BB25" s="165"/>
      <c r="BC25" s="165"/>
      <c r="BD25" s="165"/>
      <c r="BE25" s="165"/>
    </row>
    <row r="26" spans="3:64" ht="15" customHeight="1">
      <c r="C26" s="317" t="s">
        <v>248</v>
      </c>
      <c r="E26" s="319"/>
      <c r="F26" s="320"/>
      <c r="H26" s="189"/>
      <c r="I26" s="193"/>
      <c r="J26" s="193"/>
      <c r="K26" s="193"/>
      <c r="L26" s="193"/>
      <c r="M26" s="217"/>
      <c r="N26" s="292"/>
      <c r="Y26" s="183" t="s">
        <v>21</v>
      </c>
      <c r="Z26" s="184" t="str">
        <f t="shared" si="8"/>
        <v>2000 - LOCAL SUPPORT - NON-TAX</v>
      </c>
      <c r="AA26" s="318"/>
      <c r="AB26" s="187">
        <f t="shared" si="9"/>
        <v>0</v>
      </c>
      <c r="AC26" s="187">
        <f t="shared" si="10"/>
        <v>0</v>
      </c>
      <c r="AD26" s="187">
        <f t="shared" si="11"/>
        <v>0</v>
      </c>
      <c r="AE26" s="187">
        <f t="shared" si="12"/>
        <v>0</v>
      </c>
      <c r="AF26" s="187">
        <f t="shared" si="13"/>
        <v>0</v>
      </c>
      <c r="AG26" s="187">
        <f t="shared" si="3"/>
        <v>0</v>
      </c>
      <c r="AH26" s="187">
        <f t="shared" si="4"/>
        <v>0</v>
      </c>
      <c r="AI26" s="187">
        <f t="shared" si="5"/>
        <v>0</v>
      </c>
      <c r="AJ26" s="187">
        <f t="shared" si="6"/>
        <v>0</v>
      </c>
      <c r="AK26" s="187">
        <f t="shared" si="7"/>
        <v>0</v>
      </c>
      <c r="AL26" s="194"/>
      <c r="AM26" s="163"/>
      <c r="AN26" s="163"/>
      <c r="AO26" s="163"/>
      <c r="AP26" s="163"/>
      <c r="AQ26" s="163"/>
      <c r="AR26" s="163"/>
      <c r="AS26" s="163"/>
      <c r="AT26" s="163"/>
      <c r="AU26" s="163"/>
      <c r="AV26" s="163"/>
      <c r="AW26" s="163"/>
      <c r="AX26" s="163"/>
      <c r="AY26" s="163"/>
      <c r="AZ26" s="165"/>
      <c r="BA26" s="165"/>
      <c r="BB26" s="165"/>
      <c r="BC26" s="165"/>
      <c r="BD26" s="165"/>
      <c r="BE26" s="165"/>
    </row>
    <row r="27" spans="3:64" ht="15" customHeight="1">
      <c r="C27" s="321" t="s">
        <v>249</v>
      </c>
      <c r="E27" s="2"/>
      <c r="F27" s="50">
        <v>0</v>
      </c>
      <c r="H27" s="51">
        <v>0</v>
      </c>
      <c r="I27" s="51">
        <v>0</v>
      </c>
      <c r="J27" s="51">
        <v>0</v>
      </c>
      <c r="K27" s="51">
        <v>0</v>
      </c>
      <c r="L27" s="51">
        <v>0</v>
      </c>
      <c r="M27" s="217"/>
      <c r="N27" s="292"/>
      <c r="Y27" s="183" t="s">
        <v>21</v>
      </c>
      <c r="Z27" s="184" t="str">
        <f t="shared" si="8"/>
        <v xml:space="preserve">2200 - Sale Of Goods, Supplies, &amp; Services - Unassigned </v>
      </c>
      <c r="AA27" s="318"/>
      <c r="AB27" s="187">
        <f t="shared" si="9"/>
        <v>0</v>
      </c>
      <c r="AC27" s="187">
        <f t="shared" si="10"/>
        <v>0</v>
      </c>
      <c r="AD27" s="187">
        <f t="shared" si="11"/>
        <v>0</v>
      </c>
      <c r="AE27" s="187">
        <f t="shared" si="12"/>
        <v>0</v>
      </c>
      <c r="AF27" s="187">
        <f t="shared" si="13"/>
        <v>0</v>
      </c>
      <c r="AG27" s="187">
        <f t="shared" si="3"/>
        <v>0</v>
      </c>
      <c r="AH27" s="187">
        <f t="shared" si="4"/>
        <v>0</v>
      </c>
      <c r="AI27" s="187">
        <f t="shared" si="5"/>
        <v>0</v>
      </c>
      <c r="AJ27" s="187">
        <f t="shared" si="6"/>
        <v>0</v>
      </c>
      <c r="AK27" s="187">
        <f t="shared" si="7"/>
        <v>0</v>
      </c>
      <c r="AL27" s="194"/>
      <c r="AM27" s="163"/>
      <c r="AN27" s="163"/>
      <c r="AO27" s="163"/>
      <c r="AP27" s="163"/>
      <c r="AQ27" s="163"/>
      <c r="AR27" s="163"/>
      <c r="AS27" s="163"/>
      <c r="AT27" s="163"/>
      <c r="AU27" s="163"/>
      <c r="AV27" s="163"/>
      <c r="AW27" s="163"/>
      <c r="AX27" s="163"/>
      <c r="AY27" s="163"/>
      <c r="AZ27" s="165"/>
      <c r="BA27" s="165"/>
      <c r="BB27" s="165"/>
      <c r="BC27" s="165"/>
      <c r="BD27" s="165"/>
      <c r="BE27" s="165"/>
    </row>
    <row r="28" spans="3:64" ht="15" customHeight="1">
      <c r="C28" s="321" t="s">
        <v>250</v>
      </c>
      <c r="E28" s="2"/>
      <c r="F28" s="50">
        <v>0</v>
      </c>
      <c r="H28" s="51">
        <v>0</v>
      </c>
      <c r="I28" s="51">
        <v>0</v>
      </c>
      <c r="J28" s="51">
        <v>0</v>
      </c>
      <c r="K28" s="51">
        <v>0</v>
      </c>
      <c r="L28" s="51">
        <v>0</v>
      </c>
      <c r="M28" s="217"/>
      <c r="N28" s="292"/>
      <c r="Y28" s="183" t="s">
        <v>21</v>
      </c>
      <c r="Z28" s="184" t="str">
        <f t="shared" si="8"/>
        <v xml:space="preserve">2500 - Gifts Grants, and Donations (Local)   </v>
      </c>
      <c r="AA28" s="318"/>
      <c r="AB28" s="187">
        <f t="shared" si="9"/>
        <v>0</v>
      </c>
      <c r="AC28" s="187">
        <f t="shared" si="10"/>
        <v>0</v>
      </c>
      <c r="AD28" s="187">
        <f t="shared" si="11"/>
        <v>0</v>
      </c>
      <c r="AE28" s="187">
        <f t="shared" si="12"/>
        <v>0</v>
      </c>
      <c r="AF28" s="187">
        <f t="shared" si="13"/>
        <v>0</v>
      </c>
      <c r="AG28" s="187">
        <f t="shared" si="3"/>
        <v>0</v>
      </c>
      <c r="AH28" s="187">
        <f t="shared" si="4"/>
        <v>0</v>
      </c>
      <c r="AI28" s="187">
        <f t="shared" si="5"/>
        <v>0</v>
      </c>
      <c r="AJ28" s="187">
        <f t="shared" si="6"/>
        <v>0</v>
      </c>
      <c r="AK28" s="187">
        <f t="shared" si="7"/>
        <v>0</v>
      </c>
      <c r="AL28" s="194"/>
      <c r="AM28" s="163"/>
      <c r="AN28" s="163"/>
      <c r="AO28" s="163"/>
      <c r="AP28" s="163"/>
      <c r="AQ28" s="163"/>
      <c r="AR28" s="163"/>
      <c r="AS28" s="163"/>
      <c r="AT28" s="163"/>
      <c r="AU28" s="163"/>
      <c r="AV28" s="163"/>
      <c r="AW28" s="163"/>
      <c r="AX28" s="163"/>
      <c r="AY28" s="163"/>
      <c r="AZ28" s="165"/>
      <c r="BA28" s="165"/>
      <c r="BB28" s="165"/>
      <c r="BC28" s="165"/>
      <c r="BD28" s="165"/>
      <c r="BE28" s="165"/>
    </row>
    <row r="29" spans="3:64" ht="15" customHeight="1">
      <c r="C29" s="211" t="str">
        <f>"Custom "&amp;MID(C26,8,100)</f>
        <v>Custom LOCAL SUPPORT - NON-TAX</v>
      </c>
      <c r="E29" s="2"/>
      <c r="F29" s="50">
        <v>0</v>
      </c>
      <c r="H29" s="51">
        <v>0</v>
      </c>
      <c r="I29" s="51">
        <v>0</v>
      </c>
      <c r="J29" s="51">
        <v>0</v>
      </c>
      <c r="K29" s="51">
        <v>0</v>
      </c>
      <c r="L29" s="51">
        <v>0</v>
      </c>
      <c r="M29" s="217"/>
      <c r="N29" s="292"/>
      <c r="Y29" s="183" t="s">
        <v>21</v>
      </c>
      <c r="Z29" s="184" t="str">
        <f t="shared" si="8"/>
        <v>Custom LOCAL SUPPORT - NON-TAX</v>
      </c>
      <c r="AA29" s="318"/>
      <c r="AB29" s="187">
        <f t="shared" si="9"/>
        <v>0</v>
      </c>
      <c r="AC29" s="187">
        <f t="shared" si="10"/>
        <v>0</v>
      </c>
      <c r="AD29" s="187">
        <f t="shared" si="11"/>
        <v>0</v>
      </c>
      <c r="AE29" s="187">
        <f t="shared" si="12"/>
        <v>0</v>
      </c>
      <c r="AF29" s="187">
        <f t="shared" si="13"/>
        <v>0</v>
      </c>
      <c r="AG29" s="187">
        <f t="shared" si="3"/>
        <v>0</v>
      </c>
      <c r="AH29" s="187">
        <f t="shared" si="4"/>
        <v>0</v>
      </c>
      <c r="AI29" s="187">
        <f t="shared" si="5"/>
        <v>0</v>
      </c>
      <c r="AJ29" s="187">
        <f t="shared" si="6"/>
        <v>0</v>
      </c>
      <c r="AK29" s="187">
        <f t="shared" si="7"/>
        <v>0</v>
      </c>
      <c r="AL29" s="194"/>
      <c r="AM29" s="163"/>
      <c r="AN29" s="163"/>
      <c r="AO29" s="163"/>
      <c r="AP29" s="163"/>
      <c r="AQ29" s="163"/>
      <c r="AR29" s="163"/>
      <c r="AS29" s="163"/>
      <c r="AT29" s="163"/>
      <c r="AU29" s="163"/>
      <c r="AV29" s="163"/>
      <c r="AW29" s="163"/>
      <c r="AX29" s="163"/>
      <c r="AY29" s="163"/>
      <c r="AZ29" s="165"/>
      <c r="BA29" s="165"/>
      <c r="BB29" s="165"/>
      <c r="BC29" s="165"/>
      <c r="BD29" s="165"/>
      <c r="BE29" s="165"/>
    </row>
    <row r="30" spans="3:64" ht="15" customHeight="1">
      <c r="C30" s="81" t="str">
        <f>"TOTAL "&amp;MID(C26,8,100)</f>
        <v>TOTAL LOCAL SUPPORT - NON-TAX</v>
      </c>
      <c r="E30" s="319"/>
      <c r="F30" s="320"/>
      <c r="H30" s="189"/>
      <c r="I30" s="193"/>
      <c r="J30" s="193"/>
      <c r="K30" s="193"/>
      <c r="L30" s="193"/>
      <c r="M30" s="217"/>
      <c r="N30" s="292"/>
      <c r="Y30" s="183" t="s">
        <v>21</v>
      </c>
      <c r="Z30" s="184" t="str">
        <f t="shared" si="8"/>
        <v>TOTAL LOCAL SUPPORT - NON-TAX</v>
      </c>
      <c r="AA30" s="318"/>
      <c r="AB30" s="187">
        <f t="shared" si="9"/>
        <v>0</v>
      </c>
      <c r="AC30" s="187">
        <f t="shared" si="10"/>
        <v>0</v>
      </c>
      <c r="AD30" s="187">
        <f t="shared" si="11"/>
        <v>0</v>
      </c>
      <c r="AE30" s="187">
        <f t="shared" si="12"/>
        <v>0</v>
      </c>
      <c r="AF30" s="187">
        <f t="shared" si="13"/>
        <v>0</v>
      </c>
      <c r="AG30" s="187">
        <f t="shared" si="3"/>
        <v>0</v>
      </c>
      <c r="AH30" s="187">
        <f t="shared" si="4"/>
        <v>0</v>
      </c>
      <c r="AI30" s="187">
        <f t="shared" si="5"/>
        <v>0</v>
      </c>
      <c r="AJ30" s="187">
        <f t="shared" si="6"/>
        <v>0</v>
      </c>
      <c r="AK30" s="187">
        <f t="shared" si="7"/>
        <v>0</v>
      </c>
      <c r="AL30" s="194"/>
      <c r="AM30" s="163"/>
      <c r="AN30" s="163"/>
      <c r="AO30" s="163"/>
      <c r="AP30" s="163"/>
      <c r="AQ30" s="163"/>
      <c r="AR30" s="163"/>
      <c r="AS30" s="163"/>
      <c r="AT30" s="163"/>
      <c r="AU30" s="163"/>
      <c r="AV30" s="163"/>
      <c r="AW30" s="163"/>
      <c r="AX30" s="163"/>
      <c r="AY30" s="163"/>
      <c r="AZ30" s="165"/>
      <c r="BA30" s="165"/>
      <c r="BB30" s="165"/>
      <c r="BC30" s="165"/>
      <c r="BD30" s="165"/>
      <c r="BE30" s="165"/>
    </row>
    <row r="31" spans="3:64" ht="6" customHeight="1">
      <c r="C31" s="322"/>
      <c r="E31" s="319"/>
      <c r="F31" s="320"/>
      <c r="H31" s="189"/>
      <c r="I31" s="193"/>
      <c r="J31" s="193"/>
      <c r="K31" s="193"/>
      <c r="L31" s="193"/>
      <c r="M31" s="217"/>
      <c r="N31" s="292"/>
      <c r="Y31" s="183" t="s">
        <v>21</v>
      </c>
      <c r="Z31" s="184">
        <f t="shared" si="8"/>
        <v>0</v>
      </c>
      <c r="AA31" s="318"/>
      <c r="AB31" s="187">
        <f t="shared" si="9"/>
        <v>0</v>
      </c>
      <c r="AC31" s="187">
        <f t="shared" si="10"/>
        <v>0</v>
      </c>
      <c r="AD31" s="187">
        <f t="shared" si="11"/>
        <v>0</v>
      </c>
      <c r="AE31" s="187">
        <f t="shared" si="12"/>
        <v>0</v>
      </c>
      <c r="AF31" s="187">
        <f t="shared" si="13"/>
        <v>0</v>
      </c>
      <c r="AG31" s="187">
        <f t="shared" si="3"/>
        <v>0</v>
      </c>
      <c r="AH31" s="187">
        <f t="shared" si="4"/>
        <v>0</v>
      </c>
      <c r="AI31" s="187">
        <f t="shared" si="5"/>
        <v>0</v>
      </c>
      <c r="AJ31" s="187">
        <f t="shared" si="6"/>
        <v>0</v>
      </c>
      <c r="AK31" s="187">
        <f t="shared" si="7"/>
        <v>0</v>
      </c>
      <c r="AL31" s="194"/>
      <c r="AM31" s="163"/>
      <c r="AN31" s="163"/>
      <c r="AO31" s="163"/>
      <c r="AP31" s="163"/>
      <c r="AQ31" s="163"/>
      <c r="AR31" s="163"/>
      <c r="AS31" s="163"/>
      <c r="AT31" s="163"/>
      <c r="AU31" s="163"/>
      <c r="AV31" s="163"/>
      <c r="AW31" s="163"/>
      <c r="AX31" s="163"/>
      <c r="AY31" s="163"/>
      <c r="AZ31" s="165"/>
      <c r="BA31" s="165"/>
      <c r="BB31" s="165"/>
      <c r="BC31" s="165"/>
      <c r="BD31" s="165"/>
      <c r="BE31" s="165"/>
    </row>
    <row r="32" spans="3:64" ht="15" customHeight="1">
      <c r="C32" s="317" t="s">
        <v>251</v>
      </c>
      <c r="E32" s="319"/>
      <c r="F32" s="320"/>
      <c r="H32" s="189"/>
      <c r="I32" s="193"/>
      <c r="J32" s="193"/>
      <c r="K32" s="193"/>
      <c r="L32" s="193"/>
      <c r="M32" s="217"/>
      <c r="N32" s="292"/>
      <c r="Y32" s="183" t="s">
        <v>21</v>
      </c>
      <c r="Z32" s="184" t="str">
        <f t="shared" si="8"/>
        <v>3000 - STATE REVENUE - GENERAL PURPOSE</v>
      </c>
      <c r="AA32" s="318"/>
      <c r="AB32" s="187">
        <f t="shared" si="9"/>
        <v>0</v>
      </c>
      <c r="AC32" s="187">
        <f t="shared" si="10"/>
        <v>0</v>
      </c>
      <c r="AD32" s="187">
        <f t="shared" si="11"/>
        <v>0</v>
      </c>
      <c r="AE32" s="187">
        <f t="shared" si="12"/>
        <v>0</v>
      </c>
      <c r="AF32" s="187">
        <f t="shared" si="13"/>
        <v>0</v>
      </c>
      <c r="AG32" s="187">
        <f t="shared" si="3"/>
        <v>0</v>
      </c>
      <c r="AH32" s="187">
        <f t="shared" si="4"/>
        <v>0</v>
      </c>
      <c r="AI32" s="187">
        <f t="shared" si="5"/>
        <v>0</v>
      </c>
      <c r="AJ32" s="187">
        <f t="shared" si="6"/>
        <v>0</v>
      </c>
      <c r="AK32" s="187">
        <f t="shared" si="7"/>
        <v>0</v>
      </c>
      <c r="AL32" s="194"/>
      <c r="AM32" s="163"/>
      <c r="AN32" s="163"/>
      <c r="AO32" s="163"/>
      <c r="AP32" s="163"/>
      <c r="AQ32" s="163"/>
      <c r="AR32" s="163"/>
      <c r="AS32" s="163"/>
      <c r="AT32" s="163"/>
      <c r="AU32" s="163"/>
      <c r="AV32" s="163"/>
      <c r="AW32" s="163"/>
      <c r="AX32" s="163"/>
      <c r="AY32" s="163"/>
      <c r="AZ32" s="165"/>
      <c r="BA32" s="165"/>
      <c r="BB32" s="165"/>
      <c r="BC32" s="165"/>
      <c r="BD32" s="165"/>
      <c r="BE32" s="165"/>
    </row>
    <row r="33" spans="3:57" ht="15" customHeight="1">
      <c r="C33" s="321" t="s">
        <v>252</v>
      </c>
      <c r="E33" s="2"/>
      <c r="F33" s="50">
        <v>0</v>
      </c>
      <c r="H33" s="51">
        <v>0</v>
      </c>
      <c r="I33" s="51">
        <v>0</v>
      </c>
      <c r="J33" s="51">
        <v>0</v>
      </c>
      <c r="K33" s="51">
        <v>0</v>
      </c>
      <c r="L33" s="51">
        <v>0</v>
      </c>
      <c r="M33" s="217"/>
      <c r="N33" s="292"/>
      <c r="Y33" s="183" t="s">
        <v>21</v>
      </c>
      <c r="Z33" s="184" t="str">
        <f t="shared" si="8"/>
        <v xml:space="preserve">3100 - Apportionment   </v>
      </c>
      <c r="AA33" s="318"/>
      <c r="AB33" s="187">
        <f t="shared" si="9"/>
        <v>0</v>
      </c>
      <c r="AC33" s="187">
        <f t="shared" si="10"/>
        <v>0</v>
      </c>
      <c r="AD33" s="187">
        <f t="shared" si="11"/>
        <v>0</v>
      </c>
      <c r="AE33" s="187">
        <f t="shared" si="12"/>
        <v>0</v>
      </c>
      <c r="AF33" s="187">
        <f t="shared" si="13"/>
        <v>0</v>
      </c>
      <c r="AG33" s="187">
        <f t="shared" si="3"/>
        <v>0</v>
      </c>
      <c r="AH33" s="187">
        <f t="shared" si="4"/>
        <v>0</v>
      </c>
      <c r="AI33" s="187">
        <f t="shared" si="5"/>
        <v>0</v>
      </c>
      <c r="AJ33" s="187">
        <f t="shared" si="6"/>
        <v>0</v>
      </c>
      <c r="AK33" s="187">
        <f t="shared" si="7"/>
        <v>0</v>
      </c>
      <c r="AL33" s="194"/>
      <c r="AM33" s="163"/>
      <c r="AN33" s="163"/>
      <c r="AO33" s="163"/>
      <c r="AP33" s="163"/>
      <c r="AQ33" s="163"/>
      <c r="AR33" s="163"/>
      <c r="AS33" s="163"/>
      <c r="AT33" s="163"/>
      <c r="AU33" s="163"/>
      <c r="AV33" s="163"/>
      <c r="AW33" s="163"/>
      <c r="AX33" s="163"/>
      <c r="AY33" s="163"/>
      <c r="AZ33" s="165"/>
      <c r="BA33" s="165"/>
      <c r="BB33" s="165"/>
      <c r="BC33" s="165"/>
      <c r="BD33" s="165"/>
      <c r="BE33" s="165"/>
    </row>
    <row r="34" spans="3:57" ht="15" customHeight="1">
      <c r="C34" s="321" t="s">
        <v>253</v>
      </c>
      <c r="E34" s="2"/>
      <c r="F34" s="50">
        <v>0</v>
      </c>
      <c r="H34" s="51">
        <v>0</v>
      </c>
      <c r="I34" s="51">
        <v>0</v>
      </c>
      <c r="J34" s="51">
        <v>0</v>
      </c>
      <c r="K34" s="51">
        <v>0</v>
      </c>
      <c r="L34" s="51">
        <v>0</v>
      </c>
      <c r="M34" s="217"/>
      <c r="N34" s="292"/>
      <c r="Y34" s="183" t="s">
        <v>21</v>
      </c>
      <c r="Z34" s="184" t="str">
        <f t="shared" si="8"/>
        <v xml:space="preserve">3121 - Special Education - General Apportionment  </v>
      </c>
      <c r="AA34" s="318"/>
      <c r="AB34" s="187">
        <f t="shared" si="9"/>
        <v>0</v>
      </c>
      <c r="AC34" s="187">
        <f t="shared" si="10"/>
        <v>0</v>
      </c>
      <c r="AD34" s="187">
        <f t="shared" si="11"/>
        <v>0</v>
      </c>
      <c r="AE34" s="187">
        <f t="shared" si="12"/>
        <v>0</v>
      </c>
      <c r="AF34" s="187">
        <f t="shared" si="13"/>
        <v>0</v>
      </c>
      <c r="AG34" s="187">
        <f t="shared" si="3"/>
        <v>0</v>
      </c>
      <c r="AH34" s="187">
        <f t="shared" si="4"/>
        <v>0</v>
      </c>
      <c r="AI34" s="187">
        <f t="shared" si="5"/>
        <v>0</v>
      </c>
      <c r="AJ34" s="187">
        <f t="shared" si="6"/>
        <v>0</v>
      </c>
      <c r="AK34" s="187">
        <f t="shared" si="7"/>
        <v>0</v>
      </c>
      <c r="AL34" s="194"/>
      <c r="AM34" s="163"/>
      <c r="AN34" s="163"/>
      <c r="AO34" s="163"/>
      <c r="AP34" s="163"/>
      <c r="AQ34" s="163"/>
      <c r="AR34" s="163"/>
      <c r="AS34" s="163"/>
      <c r="AT34" s="163"/>
      <c r="AU34" s="163"/>
      <c r="AV34" s="163"/>
      <c r="AW34" s="163"/>
      <c r="AX34" s="163"/>
      <c r="AY34" s="163"/>
      <c r="AZ34" s="165"/>
      <c r="BA34" s="165"/>
      <c r="BB34" s="165"/>
      <c r="BC34" s="165"/>
      <c r="BD34" s="165"/>
      <c r="BE34" s="165"/>
    </row>
    <row r="35" spans="3:57" ht="15" customHeight="1">
      <c r="C35" s="211" t="str">
        <f>"Custom "&amp;MID(C32,8,100)</f>
        <v>Custom STATE REVENUE - GENERAL PURPOSE</v>
      </c>
      <c r="E35" s="2"/>
      <c r="F35" s="50">
        <v>0</v>
      </c>
      <c r="H35" s="51">
        <v>0</v>
      </c>
      <c r="I35" s="51">
        <v>0</v>
      </c>
      <c r="J35" s="51">
        <v>0</v>
      </c>
      <c r="K35" s="51">
        <v>0</v>
      </c>
      <c r="L35" s="51">
        <v>0</v>
      </c>
      <c r="M35" s="217"/>
      <c r="N35" s="292"/>
      <c r="Y35" s="183" t="s">
        <v>21</v>
      </c>
      <c r="Z35" s="184" t="str">
        <f t="shared" si="8"/>
        <v>Custom STATE REVENUE - GENERAL PURPOSE</v>
      </c>
      <c r="AA35" s="318"/>
      <c r="AB35" s="187">
        <f t="shared" si="9"/>
        <v>0</v>
      </c>
      <c r="AC35" s="187">
        <f t="shared" si="10"/>
        <v>0</v>
      </c>
      <c r="AD35" s="187">
        <f t="shared" si="11"/>
        <v>0</v>
      </c>
      <c r="AE35" s="187">
        <f t="shared" si="12"/>
        <v>0</v>
      </c>
      <c r="AF35" s="187">
        <f t="shared" si="13"/>
        <v>0</v>
      </c>
      <c r="AG35" s="187">
        <f t="shared" si="3"/>
        <v>0</v>
      </c>
      <c r="AH35" s="187">
        <f t="shared" si="4"/>
        <v>0</v>
      </c>
      <c r="AI35" s="187">
        <f t="shared" si="5"/>
        <v>0</v>
      </c>
      <c r="AJ35" s="187">
        <f t="shared" si="6"/>
        <v>0</v>
      </c>
      <c r="AK35" s="187">
        <f t="shared" si="7"/>
        <v>0</v>
      </c>
      <c r="AL35" s="194"/>
      <c r="AM35" s="163"/>
      <c r="AN35" s="163"/>
      <c r="AO35" s="163"/>
      <c r="AP35" s="163"/>
      <c r="AQ35" s="163"/>
      <c r="AR35" s="163"/>
      <c r="AS35" s="163"/>
      <c r="AT35" s="163"/>
      <c r="AU35" s="163"/>
      <c r="AV35" s="163"/>
      <c r="AW35" s="163"/>
      <c r="AX35" s="163"/>
      <c r="AY35" s="163"/>
      <c r="AZ35" s="165"/>
      <c r="BA35" s="165"/>
      <c r="BB35" s="165"/>
      <c r="BC35" s="165"/>
      <c r="BD35" s="165"/>
      <c r="BE35" s="165"/>
    </row>
    <row r="36" spans="3:57" ht="15" customHeight="1">
      <c r="C36" s="81" t="str">
        <f>"TOTAL "&amp;MID(C32,8,100)</f>
        <v>TOTAL STATE REVENUE - GENERAL PURPOSE</v>
      </c>
      <c r="E36" s="319"/>
      <c r="F36" s="320"/>
      <c r="H36" s="189"/>
      <c r="I36" s="193"/>
      <c r="J36" s="193"/>
      <c r="K36" s="193"/>
      <c r="L36" s="193"/>
      <c r="M36" s="217"/>
      <c r="N36" s="292"/>
      <c r="Y36" s="183" t="s">
        <v>21</v>
      </c>
      <c r="Z36" s="184" t="str">
        <f t="shared" si="8"/>
        <v>TOTAL STATE REVENUE - GENERAL PURPOSE</v>
      </c>
      <c r="AA36" s="318"/>
      <c r="AB36" s="187">
        <f t="shared" si="9"/>
        <v>0</v>
      </c>
      <c r="AC36" s="187">
        <f t="shared" si="10"/>
        <v>0</v>
      </c>
      <c r="AD36" s="187">
        <f t="shared" si="11"/>
        <v>0</v>
      </c>
      <c r="AE36" s="187">
        <f t="shared" si="12"/>
        <v>0</v>
      </c>
      <c r="AF36" s="187">
        <f t="shared" si="13"/>
        <v>0</v>
      </c>
      <c r="AG36" s="187">
        <f t="shared" si="3"/>
        <v>0</v>
      </c>
      <c r="AH36" s="187">
        <f t="shared" si="4"/>
        <v>0</v>
      </c>
      <c r="AI36" s="187">
        <f t="shared" si="5"/>
        <v>0</v>
      </c>
      <c r="AJ36" s="187">
        <f t="shared" si="6"/>
        <v>0</v>
      </c>
      <c r="AK36" s="187">
        <f t="shared" si="7"/>
        <v>0</v>
      </c>
      <c r="AL36" s="194"/>
      <c r="AM36" s="163"/>
      <c r="AN36" s="163"/>
      <c r="AO36" s="163"/>
      <c r="AP36" s="163"/>
      <c r="AQ36" s="163"/>
      <c r="AR36" s="163"/>
      <c r="AS36" s="163"/>
      <c r="AT36" s="163"/>
      <c r="AU36" s="163"/>
      <c r="AV36" s="163"/>
      <c r="AW36" s="163"/>
      <c r="AX36" s="163"/>
      <c r="AY36" s="163"/>
      <c r="AZ36" s="165"/>
      <c r="BA36" s="165"/>
      <c r="BB36" s="165"/>
      <c r="BC36" s="165"/>
      <c r="BD36" s="165"/>
      <c r="BE36" s="165"/>
    </row>
    <row r="37" spans="3:57" ht="6" customHeight="1">
      <c r="C37" s="280"/>
      <c r="E37" s="319"/>
      <c r="F37" s="320"/>
      <c r="H37" s="189"/>
      <c r="I37" s="193"/>
      <c r="J37" s="193"/>
      <c r="K37" s="193"/>
      <c r="L37" s="193"/>
      <c r="M37" s="217"/>
      <c r="N37" s="292"/>
      <c r="Y37" s="183" t="s">
        <v>21</v>
      </c>
      <c r="Z37" s="184">
        <f t="shared" si="8"/>
        <v>0</v>
      </c>
      <c r="AA37" s="318"/>
      <c r="AB37" s="187">
        <f t="shared" si="9"/>
        <v>0</v>
      </c>
      <c r="AC37" s="187">
        <f t="shared" si="10"/>
        <v>0</v>
      </c>
      <c r="AD37" s="187">
        <f t="shared" si="11"/>
        <v>0</v>
      </c>
      <c r="AE37" s="187">
        <f t="shared" si="12"/>
        <v>0</v>
      </c>
      <c r="AF37" s="187">
        <f t="shared" si="13"/>
        <v>0</v>
      </c>
      <c r="AG37" s="187">
        <f t="shared" si="3"/>
        <v>0</v>
      </c>
      <c r="AH37" s="187">
        <f t="shared" si="4"/>
        <v>0</v>
      </c>
      <c r="AI37" s="187">
        <f t="shared" si="5"/>
        <v>0</v>
      </c>
      <c r="AJ37" s="187">
        <f t="shared" si="6"/>
        <v>0</v>
      </c>
      <c r="AK37" s="187">
        <f t="shared" si="7"/>
        <v>0</v>
      </c>
      <c r="AL37" s="194"/>
      <c r="AM37" s="163"/>
      <c r="AN37" s="163"/>
      <c r="AO37" s="163"/>
      <c r="AP37" s="163"/>
      <c r="AQ37" s="163"/>
      <c r="AR37" s="163"/>
      <c r="AS37" s="163"/>
      <c r="AT37" s="163"/>
      <c r="AU37" s="163"/>
      <c r="AV37" s="163"/>
      <c r="AW37" s="163"/>
      <c r="AX37" s="163"/>
      <c r="AY37" s="163"/>
      <c r="AZ37" s="165"/>
      <c r="BA37" s="165"/>
      <c r="BB37" s="165"/>
      <c r="BC37" s="165"/>
      <c r="BD37" s="165"/>
      <c r="BE37" s="165"/>
    </row>
    <row r="38" spans="3:57" ht="15" customHeight="1">
      <c r="C38" s="317" t="s">
        <v>254</v>
      </c>
      <c r="E38" s="319"/>
      <c r="F38" s="320"/>
      <c r="H38" s="189"/>
      <c r="I38" s="193"/>
      <c r="J38" s="193"/>
      <c r="K38" s="193"/>
      <c r="L38" s="193"/>
      <c r="M38" s="217"/>
      <c r="N38" s="292"/>
      <c r="Y38" s="183" t="s">
        <v>21</v>
      </c>
      <c r="Z38" s="184" t="str">
        <f t="shared" si="8"/>
        <v>4000 - STATE REVENUE - SPECIAL PURPOSE</v>
      </c>
      <c r="AA38" s="318"/>
      <c r="AB38" s="187">
        <f>F38+SUM(F38*H38)</f>
        <v>0</v>
      </c>
      <c r="AC38" s="187">
        <f t="shared" si="10"/>
        <v>0</v>
      </c>
      <c r="AD38" s="187">
        <f t="shared" si="11"/>
        <v>0</v>
      </c>
      <c r="AE38" s="187">
        <f t="shared" si="12"/>
        <v>0</v>
      </c>
      <c r="AF38" s="187">
        <f t="shared" si="13"/>
        <v>0</v>
      </c>
      <c r="AG38" s="187">
        <f t="shared" si="3"/>
        <v>0</v>
      </c>
      <c r="AH38" s="187">
        <f t="shared" si="4"/>
        <v>0</v>
      </c>
      <c r="AI38" s="187">
        <f t="shared" si="5"/>
        <v>0</v>
      </c>
      <c r="AJ38" s="187">
        <f t="shared" si="6"/>
        <v>0</v>
      </c>
      <c r="AK38" s="187">
        <f t="shared" si="7"/>
        <v>0</v>
      </c>
      <c r="AL38" s="194"/>
      <c r="AM38" s="163"/>
      <c r="AN38" s="163"/>
      <c r="AO38" s="163"/>
      <c r="AP38" s="163"/>
      <c r="AQ38" s="163"/>
      <c r="AR38" s="163"/>
      <c r="AS38" s="163"/>
      <c r="AT38" s="163"/>
      <c r="AU38" s="163"/>
      <c r="AV38" s="163"/>
      <c r="AW38" s="163"/>
      <c r="AX38" s="163"/>
      <c r="AY38" s="163"/>
      <c r="AZ38" s="165"/>
      <c r="BA38" s="165"/>
      <c r="BB38" s="165"/>
      <c r="BC38" s="165"/>
      <c r="BD38" s="165"/>
      <c r="BE38" s="165"/>
    </row>
    <row r="39" spans="3:57" ht="15" customHeight="1">
      <c r="C39" s="321" t="s">
        <v>255</v>
      </c>
      <c r="E39" s="2"/>
      <c r="F39" s="50">
        <v>0</v>
      </c>
      <c r="H39" s="51">
        <v>0</v>
      </c>
      <c r="I39" s="51">
        <v>0</v>
      </c>
      <c r="J39" s="51">
        <v>0</v>
      </c>
      <c r="K39" s="51">
        <v>0</v>
      </c>
      <c r="L39" s="51">
        <v>0</v>
      </c>
      <c r="M39" s="217"/>
      <c r="N39" s="292"/>
      <c r="Y39" s="183" t="s">
        <v>21</v>
      </c>
      <c r="Z39" s="184" t="str">
        <f t="shared" ref="Z39:Z97" si="14">C39</f>
        <v xml:space="preserve">4121 - Special Education - State   </v>
      </c>
      <c r="AA39" s="318"/>
      <c r="AB39" s="187">
        <f t="shared" ref="AB39:AB97" si="15">F39+SUM(F39*H39)</f>
        <v>0</v>
      </c>
      <c r="AC39" s="187">
        <f t="shared" ref="AC39:AC97" si="16">AB39+SUM(AB39*I39)</f>
        <v>0</v>
      </c>
      <c r="AD39" s="187">
        <f t="shared" ref="AD39:AD97" si="17">AC39+SUM(AC39*J39)</f>
        <v>0</v>
      </c>
      <c r="AE39" s="187">
        <f t="shared" ref="AE39:AE97" si="18">AD39+SUM(AD39*K39)</f>
        <v>0</v>
      </c>
      <c r="AF39" s="187">
        <f t="shared" ref="AF39:AF97" si="19">AE39+SUM(AE39*L39)</f>
        <v>0</v>
      </c>
      <c r="AG39" s="187">
        <f t="shared" ref="AG39:AG97" si="20">AF39+SUM(AF39*M39)</f>
        <v>0</v>
      </c>
      <c r="AH39" s="187">
        <f t="shared" ref="AH39:AH97" si="21">AG39+SUM(AG39*N39)</f>
        <v>0</v>
      </c>
      <c r="AI39" s="187">
        <f t="shared" ref="AI39:AI97" si="22">AH39+SUM(AH39*O39)</f>
        <v>0</v>
      </c>
      <c r="AJ39" s="187">
        <f t="shared" ref="AJ39:AJ97" si="23">AI39+SUM(AI39*P39)</f>
        <v>0</v>
      </c>
      <c r="AK39" s="187">
        <f t="shared" ref="AK39:AK97" si="24">AJ39+SUM(AJ39*Q39)</f>
        <v>0</v>
      </c>
      <c r="AL39" s="194"/>
      <c r="AM39" s="163"/>
      <c r="AN39" s="163"/>
      <c r="AO39" s="163"/>
      <c r="AP39" s="163"/>
      <c r="AQ39" s="163"/>
      <c r="AR39" s="163"/>
      <c r="AS39" s="163"/>
      <c r="AT39" s="163"/>
      <c r="AU39" s="163"/>
      <c r="AV39" s="163"/>
      <c r="AW39" s="163"/>
      <c r="AX39" s="163"/>
      <c r="AY39" s="163"/>
      <c r="AZ39" s="165"/>
      <c r="BA39" s="165"/>
      <c r="BB39" s="165"/>
      <c r="BC39" s="165"/>
      <c r="BD39" s="165"/>
      <c r="BE39" s="165"/>
    </row>
    <row r="40" spans="3:57" ht="15" customHeight="1">
      <c r="C40" s="321" t="s">
        <v>256</v>
      </c>
      <c r="E40" s="2"/>
      <c r="F40" s="50">
        <v>0</v>
      </c>
      <c r="H40" s="51">
        <v>0</v>
      </c>
      <c r="I40" s="51">
        <v>0</v>
      </c>
      <c r="J40" s="51">
        <v>0</v>
      </c>
      <c r="K40" s="51">
        <v>0</v>
      </c>
      <c r="L40" s="51">
        <v>0</v>
      </c>
      <c r="M40" s="217"/>
      <c r="N40" s="358" t="s">
        <v>280</v>
      </c>
      <c r="Y40" s="183" t="s">
        <v>21</v>
      </c>
      <c r="Z40" s="184" t="str">
        <f t="shared" si="14"/>
        <v xml:space="preserve">4155 - Learning Assistance   </v>
      </c>
      <c r="AA40" s="318"/>
      <c r="AB40" s="187">
        <f t="shared" si="15"/>
        <v>0</v>
      </c>
      <c r="AC40" s="187">
        <f t="shared" si="16"/>
        <v>0</v>
      </c>
      <c r="AD40" s="187">
        <f t="shared" si="17"/>
        <v>0</v>
      </c>
      <c r="AE40" s="187">
        <f t="shared" si="18"/>
        <v>0</v>
      </c>
      <c r="AF40" s="187">
        <f t="shared" si="19"/>
        <v>0</v>
      </c>
      <c r="AG40" s="187">
        <f t="shared" si="20"/>
        <v>0</v>
      </c>
      <c r="AH40" s="187" t="e">
        <f t="shared" si="21"/>
        <v>#VALUE!</v>
      </c>
      <c r="AI40" s="187" t="e">
        <f t="shared" si="22"/>
        <v>#VALUE!</v>
      </c>
      <c r="AJ40" s="187" t="e">
        <f t="shared" si="23"/>
        <v>#VALUE!</v>
      </c>
      <c r="AK40" s="187" t="e">
        <f t="shared" si="24"/>
        <v>#VALUE!</v>
      </c>
      <c r="AL40" s="194"/>
      <c r="AM40" s="163"/>
      <c r="AN40" s="163"/>
      <c r="AO40" s="163"/>
      <c r="AP40" s="163"/>
      <c r="AQ40" s="163"/>
      <c r="AR40" s="163"/>
      <c r="AS40" s="163"/>
      <c r="AT40" s="163"/>
      <c r="AU40" s="163"/>
      <c r="AV40" s="163"/>
      <c r="AW40" s="163"/>
      <c r="AX40" s="163"/>
      <c r="AY40" s="163"/>
      <c r="AZ40" s="165"/>
      <c r="BA40" s="165"/>
      <c r="BB40" s="165"/>
      <c r="BC40" s="165"/>
      <c r="BD40" s="165"/>
      <c r="BE40" s="165"/>
    </row>
    <row r="41" spans="3:57" ht="15" customHeight="1">
      <c r="C41" s="321" t="s">
        <v>273</v>
      </c>
      <c r="E41" s="2"/>
      <c r="F41" s="50">
        <v>0</v>
      </c>
      <c r="H41" s="51">
        <v>0</v>
      </c>
      <c r="I41" s="51">
        <v>0</v>
      </c>
      <c r="J41" s="51">
        <v>0</v>
      </c>
      <c r="K41" s="51">
        <v>0</v>
      </c>
      <c r="L41" s="51">
        <v>0</v>
      </c>
      <c r="M41" s="217"/>
      <c r="N41" s="292"/>
      <c r="Y41" s="183" t="s">
        <v>21</v>
      </c>
      <c r="Z41" s="184" t="str">
        <f t="shared" si="14"/>
        <v>4165 - Transitional Bilingual</v>
      </c>
      <c r="AA41" s="318"/>
      <c r="AB41" s="187">
        <f t="shared" si="15"/>
        <v>0</v>
      </c>
      <c r="AC41" s="187">
        <f t="shared" si="16"/>
        <v>0</v>
      </c>
      <c r="AD41" s="187">
        <f t="shared" si="17"/>
        <v>0</v>
      </c>
      <c r="AE41" s="187">
        <f t="shared" si="18"/>
        <v>0</v>
      </c>
      <c r="AF41" s="187">
        <f t="shared" si="19"/>
        <v>0</v>
      </c>
      <c r="AG41" s="187">
        <f t="shared" si="20"/>
        <v>0</v>
      </c>
      <c r="AH41" s="187">
        <f t="shared" si="21"/>
        <v>0</v>
      </c>
      <c r="AI41" s="187">
        <f t="shared" si="22"/>
        <v>0</v>
      </c>
      <c r="AJ41" s="187">
        <f t="shared" si="23"/>
        <v>0</v>
      </c>
      <c r="AK41" s="187">
        <f t="shared" si="24"/>
        <v>0</v>
      </c>
      <c r="AL41" s="194"/>
      <c r="AM41" s="163"/>
      <c r="AN41" s="163"/>
      <c r="AO41" s="163"/>
      <c r="AP41" s="163"/>
      <c r="AQ41" s="163"/>
      <c r="AR41" s="163"/>
      <c r="AS41" s="163"/>
      <c r="AT41" s="163"/>
      <c r="AU41" s="163"/>
      <c r="AV41" s="163"/>
      <c r="AW41" s="163"/>
      <c r="AX41" s="163"/>
      <c r="AY41" s="163"/>
      <c r="AZ41" s="165"/>
      <c r="BA41" s="165"/>
      <c r="BB41" s="165"/>
      <c r="BC41" s="165"/>
      <c r="BD41" s="165"/>
      <c r="BE41" s="165"/>
    </row>
    <row r="42" spans="3:57">
      <c r="C42" s="321" t="s">
        <v>257</v>
      </c>
      <c r="E42" s="2"/>
      <c r="F42" s="50">
        <v>0</v>
      </c>
      <c r="H42" s="51">
        <v>0</v>
      </c>
      <c r="I42" s="51">
        <v>0</v>
      </c>
      <c r="J42" s="51">
        <v>0</v>
      </c>
      <c r="K42" s="51">
        <v>0</v>
      </c>
      <c r="L42" s="51">
        <v>0</v>
      </c>
      <c r="M42" s="217"/>
      <c r="N42" s="358" t="s">
        <v>279</v>
      </c>
      <c r="Y42" s="183" t="s">
        <v>21</v>
      </c>
      <c r="Z42" s="184" t="str">
        <f t="shared" si="14"/>
        <v xml:space="preserve">4174 - Highly Capable      </v>
      </c>
      <c r="AA42" s="318"/>
      <c r="AB42" s="187">
        <f t="shared" si="15"/>
        <v>0</v>
      </c>
      <c r="AC42" s="187">
        <f t="shared" si="16"/>
        <v>0</v>
      </c>
      <c r="AD42" s="187">
        <f t="shared" si="17"/>
        <v>0</v>
      </c>
      <c r="AE42" s="187">
        <f t="shared" si="18"/>
        <v>0</v>
      </c>
      <c r="AF42" s="187">
        <f t="shared" si="19"/>
        <v>0</v>
      </c>
      <c r="AG42" s="187">
        <f t="shared" si="20"/>
        <v>0</v>
      </c>
      <c r="AH42" s="187" t="e">
        <f t="shared" si="21"/>
        <v>#VALUE!</v>
      </c>
      <c r="AI42" s="187" t="e">
        <f t="shared" si="22"/>
        <v>#VALUE!</v>
      </c>
      <c r="AJ42" s="187" t="e">
        <f t="shared" si="23"/>
        <v>#VALUE!</v>
      </c>
      <c r="AK42" s="187" t="e">
        <f t="shared" si="24"/>
        <v>#VALUE!</v>
      </c>
      <c r="AL42" s="194"/>
      <c r="AM42" s="163"/>
      <c r="AN42" s="163"/>
      <c r="AO42" s="163"/>
      <c r="AP42" s="163"/>
      <c r="AQ42" s="163"/>
      <c r="AR42" s="163"/>
      <c r="AS42" s="163"/>
      <c r="AT42" s="163"/>
      <c r="AU42" s="163"/>
      <c r="AV42" s="163"/>
      <c r="AW42" s="163"/>
      <c r="AX42" s="163"/>
      <c r="AY42" s="163"/>
      <c r="AZ42" s="165"/>
      <c r="BA42" s="165"/>
      <c r="BB42" s="165"/>
      <c r="BC42" s="165"/>
      <c r="BD42" s="165"/>
      <c r="BE42" s="165"/>
    </row>
    <row r="43" spans="3:57" ht="15" customHeight="1">
      <c r="C43" s="321" t="s">
        <v>275</v>
      </c>
      <c r="E43" s="2"/>
      <c r="F43" s="50">
        <v>0</v>
      </c>
      <c r="H43" s="51">
        <v>0</v>
      </c>
      <c r="I43" s="51">
        <v>0</v>
      </c>
      <c r="J43" s="51">
        <v>0</v>
      </c>
      <c r="K43" s="51">
        <v>0</v>
      </c>
      <c r="L43" s="51">
        <v>0</v>
      </c>
      <c r="M43" s="217"/>
      <c r="N43" s="292"/>
      <c r="Y43" s="183" t="s">
        <v>21</v>
      </c>
      <c r="Z43" s="184" t="str">
        <f t="shared" ref="Z43" si="25">C43</f>
        <v xml:space="preserve">4198 - School Food Service      </v>
      </c>
      <c r="AA43" s="318"/>
      <c r="AB43" s="187">
        <f t="shared" ref="AB43" si="26">F43+SUM(F43*H43)</f>
        <v>0</v>
      </c>
      <c r="AC43" s="187">
        <f t="shared" ref="AC43" si="27">AB43+SUM(AB43*I43)</f>
        <v>0</v>
      </c>
      <c r="AD43" s="187">
        <f t="shared" ref="AD43" si="28">AC43+SUM(AC43*J43)</f>
        <v>0</v>
      </c>
      <c r="AE43" s="187">
        <f t="shared" ref="AE43" si="29">AD43+SUM(AD43*K43)</f>
        <v>0</v>
      </c>
      <c r="AF43" s="187">
        <f t="shared" ref="AF43" si="30">AE43+SUM(AE43*L43)</f>
        <v>0</v>
      </c>
      <c r="AG43" s="187">
        <f t="shared" ref="AG43" si="31">AF43+SUM(AF43*M43)</f>
        <v>0</v>
      </c>
      <c r="AH43" s="187">
        <f t="shared" ref="AH43" si="32">AG43+SUM(AG43*N43)</f>
        <v>0</v>
      </c>
      <c r="AI43" s="187">
        <f t="shared" ref="AI43" si="33">AH43+SUM(AH43*O43)</f>
        <v>0</v>
      </c>
      <c r="AJ43" s="187">
        <f t="shared" ref="AJ43" si="34">AI43+SUM(AI43*P43)</f>
        <v>0</v>
      </c>
      <c r="AK43" s="187">
        <f t="shared" ref="AK43" si="35">AJ43+SUM(AJ43*Q43)</f>
        <v>0</v>
      </c>
      <c r="AL43" s="194"/>
      <c r="AM43" s="163"/>
      <c r="AN43" s="163"/>
      <c r="AO43" s="163"/>
      <c r="AP43" s="163"/>
      <c r="AQ43" s="163"/>
      <c r="AR43" s="163"/>
      <c r="AS43" s="163"/>
      <c r="AT43" s="163"/>
      <c r="AU43" s="163"/>
      <c r="AV43" s="163"/>
      <c r="AW43" s="163"/>
      <c r="AX43" s="163"/>
      <c r="AY43" s="163"/>
      <c r="AZ43" s="165"/>
      <c r="BA43" s="165"/>
      <c r="BB43" s="165"/>
      <c r="BC43" s="165"/>
      <c r="BD43" s="165"/>
      <c r="BE43" s="165"/>
    </row>
    <row r="44" spans="3:57" ht="15" customHeight="1">
      <c r="C44" s="321" t="s">
        <v>258</v>
      </c>
      <c r="E44" s="2"/>
      <c r="F44" s="50">
        <v>0</v>
      </c>
      <c r="H44" s="51">
        <v>0</v>
      </c>
      <c r="I44" s="51">
        <v>0</v>
      </c>
      <c r="J44" s="51">
        <v>0</v>
      </c>
      <c r="K44" s="51">
        <v>0</v>
      </c>
      <c r="L44" s="51">
        <v>0</v>
      </c>
      <c r="M44" s="217"/>
      <c r="N44" s="292"/>
      <c r="Y44" s="183" t="s">
        <v>21</v>
      </c>
      <c r="Z44" s="184" t="str">
        <f t="shared" si="14"/>
        <v>4199 - Transportation - Operations</v>
      </c>
      <c r="AA44" s="318"/>
      <c r="AB44" s="187">
        <f t="shared" si="15"/>
        <v>0</v>
      </c>
      <c r="AC44" s="187">
        <f t="shared" si="16"/>
        <v>0</v>
      </c>
      <c r="AD44" s="187">
        <f t="shared" si="17"/>
        <v>0</v>
      </c>
      <c r="AE44" s="187">
        <f t="shared" si="18"/>
        <v>0</v>
      </c>
      <c r="AF44" s="187">
        <f t="shared" si="19"/>
        <v>0</v>
      </c>
      <c r="AG44" s="187">
        <f t="shared" si="20"/>
        <v>0</v>
      </c>
      <c r="AH44" s="187">
        <f t="shared" si="21"/>
        <v>0</v>
      </c>
      <c r="AI44" s="187">
        <f t="shared" si="22"/>
        <v>0</v>
      </c>
      <c r="AJ44" s="187">
        <f t="shared" si="23"/>
        <v>0</v>
      </c>
      <c r="AK44" s="187">
        <f t="shared" si="24"/>
        <v>0</v>
      </c>
      <c r="AL44" s="194"/>
      <c r="AM44" s="163"/>
      <c r="AN44" s="163"/>
      <c r="AO44" s="163"/>
      <c r="AP44" s="163"/>
      <c r="AQ44" s="163"/>
      <c r="AR44" s="163"/>
      <c r="AS44" s="163"/>
      <c r="AT44" s="163"/>
      <c r="AU44" s="163"/>
      <c r="AV44" s="163"/>
      <c r="AW44" s="163"/>
      <c r="AX44" s="163"/>
      <c r="AY44" s="163"/>
      <c r="AZ44" s="165"/>
      <c r="BA44" s="165"/>
      <c r="BB44" s="165"/>
      <c r="BC44" s="165"/>
      <c r="BD44" s="165"/>
      <c r="BE44" s="165"/>
    </row>
    <row r="45" spans="3:57" ht="15" customHeight="1">
      <c r="C45" s="211" t="str">
        <f>"Custom "&amp;MID(C38,8,100)</f>
        <v>Custom STATE REVENUE - SPECIAL PURPOSE</v>
      </c>
      <c r="E45" s="2"/>
      <c r="F45" s="50">
        <v>0</v>
      </c>
      <c r="H45" s="51">
        <v>0</v>
      </c>
      <c r="I45" s="51">
        <v>0</v>
      </c>
      <c r="J45" s="51">
        <v>0</v>
      </c>
      <c r="K45" s="51">
        <v>0</v>
      </c>
      <c r="L45" s="51">
        <v>0</v>
      </c>
      <c r="M45" s="217"/>
      <c r="N45" s="292"/>
      <c r="Y45" s="183" t="s">
        <v>21</v>
      </c>
      <c r="Z45" s="184" t="str">
        <f t="shared" si="14"/>
        <v>Custom STATE REVENUE - SPECIAL PURPOSE</v>
      </c>
      <c r="AA45" s="318"/>
      <c r="AB45" s="187">
        <f t="shared" si="15"/>
        <v>0</v>
      </c>
      <c r="AC45" s="187">
        <f t="shared" si="16"/>
        <v>0</v>
      </c>
      <c r="AD45" s="187">
        <f t="shared" si="17"/>
        <v>0</v>
      </c>
      <c r="AE45" s="187">
        <f t="shared" si="18"/>
        <v>0</v>
      </c>
      <c r="AF45" s="187">
        <f t="shared" si="19"/>
        <v>0</v>
      </c>
      <c r="AG45" s="187">
        <f t="shared" si="20"/>
        <v>0</v>
      </c>
      <c r="AH45" s="187">
        <f t="shared" si="21"/>
        <v>0</v>
      </c>
      <c r="AI45" s="187">
        <f t="shared" si="22"/>
        <v>0</v>
      </c>
      <c r="AJ45" s="187">
        <f t="shared" si="23"/>
        <v>0</v>
      </c>
      <c r="AK45" s="187">
        <f t="shared" si="24"/>
        <v>0</v>
      </c>
      <c r="AL45" s="194"/>
      <c r="AM45" s="163"/>
      <c r="AN45" s="163"/>
      <c r="AO45" s="163"/>
      <c r="AP45" s="163"/>
      <c r="AQ45" s="163"/>
      <c r="AR45" s="163"/>
      <c r="AS45" s="163"/>
      <c r="AT45" s="163"/>
      <c r="AU45" s="163"/>
      <c r="AV45" s="163"/>
      <c r="AW45" s="163"/>
      <c r="AX45" s="163"/>
      <c r="AY45" s="163"/>
      <c r="AZ45" s="165"/>
      <c r="BA45" s="165"/>
      <c r="BB45" s="165"/>
      <c r="BC45" s="165"/>
      <c r="BD45" s="165"/>
      <c r="BE45" s="165"/>
    </row>
    <row r="46" spans="3:57" ht="15" customHeight="1">
      <c r="C46" s="81" t="str">
        <f>"TOTAL "&amp;MID(C38,8,100)</f>
        <v>TOTAL STATE REVENUE - SPECIAL PURPOSE</v>
      </c>
      <c r="E46" s="319"/>
      <c r="F46" s="320"/>
      <c r="H46" s="189"/>
      <c r="I46" s="193"/>
      <c r="J46" s="193"/>
      <c r="K46" s="193"/>
      <c r="L46" s="193"/>
      <c r="M46" s="217"/>
      <c r="N46" s="292"/>
      <c r="Y46" s="183" t="s">
        <v>21</v>
      </c>
      <c r="Z46" s="184" t="str">
        <f t="shared" si="14"/>
        <v>TOTAL STATE REVENUE - SPECIAL PURPOSE</v>
      </c>
      <c r="AA46" s="318"/>
      <c r="AB46" s="187">
        <f t="shared" si="15"/>
        <v>0</v>
      </c>
      <c r="AC46" s="187">
        <f t="shared" si="16"/>
        <v>0</v>
      </c>
      <c r="AD46" s="187">
        <f t="shared" si="17"/>
        <v>0</v>
      </c>
      <c r="AE46" s="187">
        <f t="shared" si="18"/>
        <v>0</v>
      </c>
      <c r="AF46" s="187">
        <f t="shared" si="19"/>
        <v>0</v>
      </c>
      <c r="AG46" s="187">
        <f t="shared" si="20"/>
        <v>0</v>
      </c>
      <c r="AH46" s="187">
        <f t="shared" si="21"/>
        <v>0</v>
      </c>
      <c r="AI46" s="187">
        <f t="shared" si="22"/>
        <v>0</v>
      </c>
      <c r="AJ46" s="187">
        <f t="shared" si="23"/>
        <v>0</v>
      </c>
      <c r="AK46" s="187">
        <f t="shared" si="24"/>
        <v>0</v>
      </c>
      <c r="AL46" s="194"/>
      <c r="AM46" s="163"/>
      <c r="AN46" s="163"/>
      <c r="AO46" s="163"/>
      <c r="AP46" s="163"/>
      <c r="AQ46" s="163"/>
      <c r="AR46" s="163"/>
      <c r="AS46" s="163"/>
      <c r="AT46" s="163"/>
      <c r="AU46" s="163"/>
      <c r="AV46" s="163"/>
      <c r="AW46" s="163"/>
      <c r="AX46" s="163"/>
      <c r="AY46" s="163"/>
      <c r="AZ46" s="165"/>
      <c r="BA46" s="165"/>
      <c r="BB46" s="165"/>
      <c r="BC46" s="165"/>
      <c r="BD46" s="165"/>
      <c r="BE46" s="165"/>
    </row>
    <row r="47" spans="3:57" ht="6" customHeight="1">
      <c r="C47" s="280"/>
      <c r="E47" s="319"/>
      <c r="F47" s="320"/>
      <c r="H47" s="189"/>
      <c r="I47" s="193"/>
      <c r="J47" s="193"/>
      <c r="K47" s="193"/>
      <c r="L47" s="193"/>
      <c r="M47" s="217"/>
      <c r="N47" s="292"/>
      <c r="Y47" s="183" t="s">
        <v>21</v>
      </c>
      <c r="Z47" s="184">
        <f t="shared" si="14"/>
        <v>0</v>
      </c>
      <c r="AA47" s="318"/>
      <c r="AB47" s="187">
        <f t="shared" si="15"/>
        <v>0</v>
      </c>
      <c r="AC47" s="187">
        <f t="shared" si="16"/>
        <v>0</v>
      </c>
      <c r="AD47" s="187">
        <f t="shared" si="17"/>
        <v>0</v>
      </c>
      <c r="AE47" s="187">
        <f t="shared" si="18"/>
        <v>0</v>
      </c>
      <c r="AF47" s="187">
        <f t="shared" si="19"/>
        <v>0</v>
      </c>
      <c r="AG47" s="187">
        <f t="shared" si="20"/>
        <v>0</v>
      </c>
      <c r="AH47" s="187">
        <f t="shared" si="21"/>
        <v>0</v>
      </c>
      <c r="AI47" s="187">
        <f t="shared" si="22"/>
        <v>0</v>
      </c>
      <c r="AJ47" s="187">
        <f t="shared" si="23"/>
        <v>0</v>
      </c>
      <c r="AK47" s="187">
        <f t="shared" si="24"/>
        <v>0</v>
      </c>
      <c r="AL47" s="194"/>
      <c r="AM47" s="163"/>
      <c r="AN47" s="163"/>
      <c r="AO47" s="163"/>
      <c r="AP47" s="163"/>
      <c r="AQ47" s="163"/>
      <c r="AR47" s="163"/>
      <c r="AS47" s="163"/>
      <c r="AT47" s="163"/>
      <c r="AU47" s="163"/>
      <c r="AV47" s="163"/>
      <c r="AW47" s="163"/>
      <c r="AX47" s="163"/>
      <c r="AY47" s="163"/>
      <c r="AZ47" s="165"/>
      <c r="BA47" s="165"/>
      <c r="BB47" s="165"/>
      <c r="BC47" s="165"/>
      <c r="BD47" s="165"/>
      <c r="BE47" s="165"/>
    </row>
    <row r="48" spans="3:57" ht="15" customHeight="1">
      <c r="C48" s="317" t="s">
        <v>259</v>
      </c>
      <c r="E48" s="319"/>
      <c r="F48" s="320"/>
      <c r="H48" s="189"/>
      <c r="I48" s="193"/>
      <c r="J48" s="193"/>
      <c r="K48" s="193"/>
      <c r="L48" s="193"/>
      <c r="M48" s="217"/>
      <c r="N48" s="292"/>
      <c r="Y48" s="183" t="s">
        <v>21</v>
      </c>
      <c r="Z48" s="184" t="str">
        <f t="shared" si="14"/>
        <v>5000 - FEDERAL REVENUE - GENERAL PURPOSE</v>
      </c>
      <c r="AA48" s="318"/>
      <c r="AB48" s="187">
        <f t="shared" si="15"/>
        <v>0</v>
      </c>
      <c r="AC48" s="187">
        <f t="shared" si="16"/>
        <v>0</v>
      </c>
      <c r="AD48" s="187">
        <f t="shared" si="17"/>
        <v>0</v>
      </c>
      <c r="AE48" s="187">
        <f t="shared" si="18"/>
        <v>0</v>
      </c>
      <c r="AF48" s="187">
        <f t="shared" si="19"/>
        <v>0</v>
      </c>
      <c r="AG48" s="187">
        <f t="shared" si="20"/>
        <v>0</v>
      </c>
      <c r="AH48" s="187">
        <f t="shared" si="21"/>
        <v>0</v>
      </c>
      <c r="AI48" s="187">
        <f t="shared" si="22"/>
        <v>0</v>
      </c>
      <c r="AJ48" s="187">
        <f t="shared" si="23"/>
        <v>0</v>
      </c>
      <c r="AK48" s="187">
        <f t="shared" si="24"/>
        <v>0</v>
      </c>
      <c r="AL48" s="194"/>
      <c r="AM48" s="163"/>
      <c r="AN48" s="163"/>
      <c r="AO48" s="163"/>
      <c r="AP48" s="163"/>
      <c r="AQ48" s="163"/>
      <c r="AR48" s="163"/>
      <c r="AS48" s="163"/>
      <c r="AT48" s="163"/>
      <c r="AU48" s="163"/>
      <c r="AV48" s="163"/>
      <c r="AW48" s="163"/>
      <c r="AX48" s="163"/>
      <c r="AY48" s="163"/>
      <c r="AZ48" s="165"/>
      <c r="BA48" s="165"/>
      <c r="BB48" s="165"/>
      <c r="BC48" s="165"/>
      <c r="BD48" s="165"/>
      <c r="BE48" s="165"/>
    </row>
    <row r="49" spans="3:57" ht="15" customHeight="1">
      <c r="C49" s="321" t="s">
        <v>264</v>
      </c>
      <c r="E49" s="2"/>
      <c r="F49" s="50">
        <v>0</v>
      </c>
      <c r="H49" s="51">
        <v>0</v>
      </c>
      <c r="I49" s="51">
        <v>0</v>
      </c>
      <c r="J49" s="51">
        <v>0</v>
      </c>
      <c r="K49" s="51">
        <v>0</v>
      </c>
      <c r="L49" s="51">
        <v>0</v>
      </c>
      <c r="M49" s="217"/>
      <c r="N49" s="292"/>
      <c r="Y49" s="183" t="s">
        <v>21</v>
      </c>
      <c r="Z49" s="184" t="str">
        <f t="shared" si="14"/>
        <v xml:space="preserve">5200 - General Purpose Direct Fed. Grants - Unassigned  </v>
      </c>
      <c r="AA49" s="318"/>
      <c r="AB49" s="187">
        <f t="shared" si="15"/>
        <v>0</v>
      </c>
      <c r="AC49" s="187">
        <f t="shared" si="16"/>
        <v>0</v>
      </c>
      <c r="AD49" s="187">
        <f t="shared" si="17"/>
        <v>0</v>
      </c>
      <c r="AE49" s="187">
        <f t="shared" si="18"/>
        <v>0</v>
      </c>
      <c r="AF49" s="187">
        <f t="shared" si="19"/>
        <v>0</v>
      </c>
      <c r="AG49" s="187">
        <f t="shared" si="20"/>
        <v>0</v>
      </c>
      <c r="AH49" s="187">
        <f t="shared" si="21"/>
        <v>0</v>
      </c>
      <c r="AI49" s="187">
        <f t="shared" si="22"/>
        <v>0</v>
      </c>
      <c r="AJ49" s="187">
        <f t="shared" si="23"/>
        <v>0</v>
      </c>
      <c r="AK49" s="187">
        <f t="shared" si="24"/>
        <v>0</v>
      </c>
      <c r="AL49" s="194"/>
      <c r="AM49" s="163"/>
      <c r="AN49" s="163"/>
      <c r="AO49" s="163"/>
      <c r="AP49" s="163"/>
      <c r="AQ49" s="163"/>
      <c r="AR49" s="163"/>
      <c r="AS49" s="163"/>
      <c r="AT49" s="163"/>
      <c r="AU49" s="163"/>
      <c r="AV49" s="163"/>
      <c r="AW49" s="163"/>
      <c r="AX49" s="163"/>
      <c r="AY49" s="163"/>
      <c r="AZ49" s="165"/>
      <c r="BA49" s="165"/>
      <c r="BB49" s="165"/>
      <c r="BC49" s="165"/>
      <c r="BD49" s="165"/>
      <c r="BE49" s="165"/>
    </row>
    <row r="50" spans="3:57" ht="15" customHeight="1">
      <c r="C50" s="327" t="s">
        <v>30</v>
      </c>
      <c r="E50" s="325"/>
      <c r="F50" s="50">
        <v>0</v>
      </c>
      <c r="H50" s="51">
        <v>0</v>
      </c>
      <c r="I50" s="51">
        <v>0</v>
      </c>
      <c r="J50" s="51">
        <v>0</v>
      </c>
      <c r="K50" s="51">
        <v>0</v>
      </c>
      <c r="L50" s="51">
        <v>0</v>
      </c>
      <c r="M50" s="217"/>
      <c r="N50" s="292"/>
      <c r="Y50" s="183" t="s">
        <v>21</v>
      </c>
      <c r="Z50" s="184" t="str">
        <f t="shared" si="14"/>
        <v>Title I</v>
      </c>
      <c r="AA50" s="318"/>
      <c r="AB50" s="187">
        <f t="shared" si="15"/>
        <v>0</v>
      </c>
      <c r="AC50" s="187">
        <f t="shared" si="16"/>
        <v>0</v>
      </c>
      <c r="AD50" s="187">
        <f t="shared" si="17"/>
        <v>0</v>
      </c>
      <c r="AE50" s="187">
        <f t="shared" si="18"/>
        <v>0</v>
      </c>
      <c r="AF50" s="187">
        <f t="shared" si="19"/>
        <v>0</v>
      </c>
      <c r="AG50" s="187">
        <f t="shared" si="20"/>
        <v>0</v>
      </c>
      <c r="AH50" s="187">
        <f t="shared" si="21"/>
        <v>0</v>
      </c>
      <c r="AI50" s="187">
        <f t="shared" si="22"/>
        <v>0</v>
      </c>
      <c r="AJ50" s="187">
        <f t="shared" si="23"/>
        <v>0</v>
      </c>
      <c r="AK50" s="187">
        <f t="shared" si="24"/>
        <v>0</v>
      </c>
      <c r="AL50" s="194"/>
      <c r="AM50" s="163"/>
      <c r="AN50" s="163"/>
      <c r="AO50" s="163"/>
      <c r="AP50" s="163"/>
      <c r="AQ50" s="163"/>
      <c r="AR50" s="163"/>
      <c r="AS50" s="163"/>
      <c r="AT50" s="163"/>
      <c r="AU50" s="163"/>
      <c r="AV50" s="163"/>
      <c r="AW50" s="163"/>
      <c r="AX50" s="163"/>
      <c r="AY50" s="163"/>
      <c r="AZ50" s="165"/>
      <c r="BA50" s="165"/>
      <c r="BB50" s="165"/>
      <c r="BC50" s="165"/>
      <c r="BD50" s="165"/>
      <c r="BE50" s="165"/>
    </row>
    <row r="51" spans="3:57" ht="15" customHeight="1">
      <c r="C51" s="327" t="s">
        <v>128</v>
      </c>
      <c r="E51" s="325"/>
      <c r="F51" s="50">
        <v>0</v>
      </c>
      <c r="H51" s="51">
        <v>0</v>
      </c>
      <c r="I51" s="51">
        <v>0</v>
      </c>
      <c r="J51" s="51">
        <v>0</v>
      </c>
      <c r="K51" s="51">
        <v>0</v>
      </c>
      <c r="L51" s="51">
        <v>0</v>
      </c>
      <c r="M51" s="217"/>
      <c r="N51" s="292"/>
      <c r="Y51" s="183" t="s">
        <v>21</v>
      </c>
      <c r="Z51" s="184" t="str">
        <f t="shared" si="14"/>
        <v>Title II</v>
      </c>
      <c r="AA51" s="318"/>
      <c r="AB51" s="187">
        <f t="shared" si="15"/>
        <v>0</v>
      </c>
      <c r="AC51" s="187">
        <f t="shared" si="16"/>
        <v>0</v>
      </c>
      <c r="AD51" s="187">
        <f t="shared" si="17"/>
        <v>0</v>
      </c>
      <c r="AE51" s="187">
        <f t="shared" si="18"/>
        <v>0</v>
      </c>
      <c r="AF51" s="187">
        <f t="shared" si="19"/>
        <v>0</v>
      </c>
      <c r="AG51" s="187">
        <f t="shared" si="20"/>
        <v>0</v>
      </c>
      <c r="AH51" s="187">
        <f t="shared" si="21"/>
        <v>0</v>
      </c>
      <c r="AI51" s="187">
        <f t="shared" si="22"/>
        <v>0</v>
      </c>
      <c r="AJ51" s="187">
        <f t="shared" si="23"/>
        <v>0</v>
      </c>
      <c r="AK51" s="187">
        <f t="shared" si="24"/>
        <v>0</v>
      </c>
      <c r="AL51" s="194"/>
      <c r="AM51" s="163"/>
      <c r="AN51" s="163"/>
      <c r="AO51" s="163"/>
      <c r="AP51" s="163"/>
      <c r="AQ51" s="163"/>
      <c r="AR51" s="163"/>
      <c r="AS51" s="163"/>
      <c r="AT51" s="163"/>
      <c r="AU51" s="163"/>
      <c r="AV51" s="163"/>
      <c r="AW51" s="163"/>
      <c r="AX51" s="163"/>
      <c r="AY51" s="163"/>
      <c r="AZ51" s="165"/>
      <c r="BA51" s="165"/>
      <c r="BB51" s="165"/>
      <c r="BC51" s="165"/>
      <c r="BD51" s="165"/>
      <c r="BE51" s="165"/>
    </row>
    <row r="52" spans="3:57" ht="15" customHeight="1">
      <c r="C52" s="327" t="s">
        <v>127</v>
      </c>
      <c r="E52" s="325"/>
      <c r="F52" s="50">
        <v>0</v>
      </c>
      <c r="H52" s="51">
        <v>0</v>
      </c>
      <c r="I52" s="51">
        <v>0</v>
      </c>
      <c r="J52" s="51">
        <v>0</v>
      </c>
      <c r="K52" s="51">
        <v>0</v>
      </c>
      <c r="L52" s="51">
        <v>0</v>
      </c>
      <c r="M52" s="217"/>
      <c r="N52" s="292"/>
      <c r="Y52" s="183" t="s">
        <v>21</v>
      </c>
      <c r="Z52" s="184" t="str">
        <f t="shared" si="14"/>
        <v>Title III</v>
      </c>
      <c r="AA52" s="318"/>
      <c r="AB52" s="187">
        <f t="shared" si="15"/>
        <v>0</v>
      </c>
      <c r="AC52" s="187">
        <f t="shared" si="16"/>
        <v>0</v>
      </c>
      <c r="AD52" s="187">
        <f t="shared" si="17"/>
        <v>0</v>
      </c>
      <c r="AE52" s="187">
        <f t="shared" si="18"/>
        <v>0</v>
      </c>
      <c r="AF52" s="187">
        <f t="shared" si="19"/>
        <v>0</v>
      </c>
      <c r="AG52" s="187">
        <f t="shared" si="20"/>
        <v>0</v>
      </c>
      <c r="AH52" s="187">
        <f t="shared" si="21"/>
        <v>0</v>
      </c>
      <c r="AI52" s="187">
        <f t="shared" si="22"/>
        <v>0</v>
      </c>
      <c r="AJ52" s="187">
        <f t="shared" si="23"/>
        <v>0</v>
      </c>
      <c r="AK52" s="187">
        <f t="shared" si="24"/>
        <v>0</v>
      </c>
      <c r="AL52" s="194"/>
      <c r="AM52" s="163"/>
      <c r="AN52" s="163"/>
      <c r="AO52" s="163"/>
      <c r="AP52" s="163"/>
      <c r="AQ52" s="163"/>
      <c r="AR52" s="163"/>
      <c r="AS52" s="163"/>
      <c r="AT52" s="163"/>
      <c r="AU52" s="163"/>
      <c r="AV52" s="163"/>
      <c r="AW52" s="163"/>
      <c r="AX52" s="163"/>
      <c r="AY52" s="163"/>
      <c r="AZ52" s="165"/>
      <c r="BA52" s="165"/>
      <c r="BB52" s="165"/>
      <c r="BC52" s="165"/>
      <c r="BD52" s="165"/>
      <c r="BE52" s="165"/>
    </row>
    <row r="53" spans="3:57" ht="15" customHeight="1">
      <c r="C53" s="327" t="s">
        <v>126</v>
      </c>
      <c r="E53" s="325"/>
      <c r="F53" s="50">
        <v>0</v>
      </c>
      <c r="H53" s="51">
        <v>0</v>
      </c>
      <c r="I53" s="51">
        <v>0</v>
      </c>
      <c r="J53" s="51">
        <v>0</v>
      </c>
      <c r="K53" s="51">
        <v>0</v>
      </c>
      <c r="L53" s="51">
        <v>0</v>
      </c>
      <c r="M53" s="217"/>
      <c r="N53" s="292"/>
      <c r="Y53" s="183" t="s">
        <v>21</v>
      </c>
      <c r="Z53" s="184" t="str">
        <f t="shared" si="14"/>
        <v>IDEA Funding</v>
      </c>
      <c r="AA53" s="318"/>
      <c r="AB53" s="187">
        <f t="shared" si="15"/>
        <v>0</v>
      </c>
      <c r="AC53" s="187">
        <f t="shared" si="16"/>
        <v>0</v>
      </c>
      <c r="AD53" s="187">
        <f t="shared" si="17"/>
        <v>0</v>
      </c>
      <c r="AE53" s="187">
        <f t="shared" si="18"/>
        <v>0</v>
      </c>
      <c r="AF53" s="187">
        <f t="shared" si="19"/>
        <v>0</v>
      </c>
      <c r="AG53" s="187">
        <f t="shared" si="20"/>
        <v>0</v>
      </c>
      <c r="AH53" s="187">
        <f t="shared" si="21"/>
        <v>0</v>
      </c>
      <c r="AI53" s="187">
        <f t="shared" si="22"/>
        <v>0</v>
      </c>
      <c r="AJ53" s="187">
        <f t="shared" si="23"/>
        <v>0</v>
      </c>
      <c r="AK53" s="187">
        <f t="shared" si="24"/>
        <v>0</v>
      </c>
      <c r="AL53" s="194"/>
      <c r="AM53" s="163"/>
      <c r="AN53" s="163"/>
      <c r="AO53" s="163"/>
      <c r="AP53" s="163"/>
      <c r="AQ53" s="163"/>
      <c r="AR53" s="163"/>
      <c r="AS53" s="163"/>
      <c r="AT53" s="163"/>
      <c r="AU53" s="163"/>
      <c r="AV53" s="163"/>
      <c r="AW53" s="163"/>
      <c r="AX53" s="163"/>
      <c r="AY53" s="163"/>
      <c r="AZ53" s="165"/>
      <c r="BA53" s="165"/>
      <c r="BB53" s="165"/>
      <c r="BC53" s="165"/>
      <c r="BD53" s="165"/>
      <c r="BE53" s="165"/>
    </row>
    <row r="54" spans="3:57" ht="15" customHeight="1">
      <c r="C54" s="329" t="s">
        <v>139</v>
      </c>
      <c r="E54" s="325"/>
      <c r="F54" s="50">
        <v>0</v>
      </c>
      <c r="H54" s="51">
        <v>0</v>
      </c>
      <c r="I54" s="51">
        <v>0</v>
      </c>
      <c r="J54" s="51">
        <v>0</v>
      </c>
      <c r="K54" s="51">
        <v>0</v>
      </c>
      <c r="L54" s="51">
        <v>0</v>
      </c>
      <c r="M54" s="217"/>
      <c r="N54" s="292"/>
      <c r="Y54" s="183" t="s">
        <v>21</v>
      </c>
      <c r="Z54" s="184" t="str">
        <f t="shared" si="14"/>
        <v>CSP</v>
      </c>
      <c r="AA54" s="318"/>
      <c r="AB54" s="187">
        <f t="shared" si="15"/>
        <v>0</v>
      </c>
      <c r="AC54" s="187">
        <f t="shared" si="16"/>
        <v>0</v>
      </c>
      <c r="AD54" s="187">
        <f t="shared" si="17"/>
        <v>0</v>
      </c>
      <c r="AE54" s="187">
        <f t="shared" si="18"/>
        <v>0</v>
      </c>
      <c r="AF54" s="187">
        <f t="shared" si="19"/>
        <v>0</v>
      </c>
      <c r="AG54" s="187">
        <f t="shared" si="20"/>
        <v>0</v>
      </c>
      <c r="AH54" s="187">
        <f t="shared" si="21"/>
        <v>0</v>
      </c>
      <c r="AI54" s="187">
        <f t="shared" si="22"/>
        <v>0</v>
      </c>
      <c r="AJ54" s="187">
        <f t="shared" si="23"/>
        <v>0</v>
      </c>
      <c r="AK54" s="187">
        <f t="shared" si="24"/>
        <v>0</v>
      </c>
      <c r="AL54" s="194"/>
      <c r="AM54" s="163"/>
      <c r="AN54" s="163"/>
      <c r="AO54" s="163"/>
      <c r="AP54" s="163"/>
      <c r="AQ54" s="163"/>
      <c r="AR54" s="163"/>
      <c r="AS54" s="163"/>
      <c r="AT54" s="163"/>
      <c r="AU54" s="163"/>
      <c r="AV54" s="163"/>
      <c r="AW54" s="163"/>
      <c r="AX54" s="163"/>
      <c r="AY54" s="163"/>
      <c r="AZ54" s="165"/>
      <c r="BA54" s="165"/>
      <c r="BB54" s="165"/>
      <c r="BC54" s="165"/>
      <c r="BD54" s="165"/>
      <c r="BE54" s="165"/>
    </row>
    <row r="55" spans="3:57" ht="15" customHeight="1">
      <c r="C55" s="333" t="str">
        <f>"Total "&amp;C49</f>
        <v xml:space="preserve">Total 5200 - General Purpose Direct Fed. Grants - Unassigned  </v>
      </c>
      <c r="E55" s="319"/>
      <c r="F55" s="320"/>
      <c r="H55" s="189"/>
      <c r="I55" s="193"/>
      <c r="J55" s="193"/>
      <c r="K55" s="193"/>
      <c r="L55" s="193"/>
      <c r="M55" s="217"/>
      <c r="N55" s="292"/>
      <c r="Y55" s="183"/>
      <c r="Z55" s="184"/>
      <c r="AA55" s="318"/>
      <c r="AB55" s="318"/>
      <c r="AC55" s="318"/>
      <c r="AD55" s="318"/>
      <c r="AE55" s="318"/>
      <c r="AF55" s="318"/>
      <c r="AG55" s="318"/>
      <c r="AH55" s="318"/>
      <c r="AI55" s="318"/>
      <c r="AJ55" s="318"/>
      <c r="AK55" s="318"/>
      <c r="AL55" s="194"/>
      <c r="AM55" s="163"/>
      <c r="AN55" s="163"/>
      <c r="AO55" s="163"/>
      <c r="AP55" s="163"/>
      <c r="AQ55" s="163"/>
      <c r="AR55" s="163"/>
      <c r="AS55" s="163"/>
      <c r="AT55" s="163"/>
      <c r="AU55" s="163"/>
      <c r="AV55" s="163"/>
      <c r="AW55" s="163"/>
      <c r="AX55" s="163"/>
      <c r="AY55" s="163"/>
      <c r="AZ55" s="165"/>
      <c r="BA55" s="165"/>
      <c r="BB55" s="165"/>
      <c r="BC55" s="165"/>
      <c r="BD55" s="165"/>
      <c r="BE55" s="165"/>
    </row>
    <row r="56" spans="3:57" ht="15" customHeight="1">
      <c r="C56" s="211" t="str">
        <f>"Custom "&amp;MID(C48,8,100)</f>
        <v>Custom FEDERAL REVENUE - GENERAL PURPOSE</v>
      </c>
      <c r="E56" s="2"/>
      <c r="F56" s="50">
        <v>0</v>
      </c>
      <c r="H56" s="51">
        <v>0</v>
      </c>
      <c r="I56" s="51">
        <v>0</v>
      </c>
      <c r="J56" s="51">
        <v>0</v>
      </c>
      <c r="K56" s="51">
        <v>0</v>
      </c>
      <c r="L56" s="51">
        <v>0</v>
      </c>
      <c r="M56" s="217"/>
      <c r="N56" s="292"/>
      <c r="Y56" s="183" t="s">
        <v>21</v>
      </c>
      <c r="Z56" s="184" t="str">
        <f t="shared" si="14"/>
        <v>Custom FEDERAL REVENUE - GENERAL PURPOSE</v>
      </c>
      <c r="AA56" s="318"/>
      <c r="AB56" s="187">
        <f t="shared" si="15"/>
        <v>0</v>
      </c>
      <c r="AC56" s="187">
        <f t="shared" si="16"/>
        <v>0</v>
      </c>
      <c r="AD56" s="187">
        <f t="shared" si="17"/>
        <v>0</v>
      </c>
      <c r="AE56" s="187">
        <f t="shared" si="18"/>
        <v>0</v>
      </c>
      <c r="AF56" s="187">
        <f t="shared" si="19"/>
        <v>0</v>
      </c>
      <c r="AG56" s="187">
        <f t="shared" si="20"/>
        <v>0</v>
      </c>
      <c r="AH56" s="187">
        <f t="shared" si="21"/>
        <v>0</v>
      </c>
      <c r="AI56" s="187">
        <f t="shared" si="22"/>
        <v>0</v>
      </c>
      <c r="AJ56" s="187">
        <f t="shared" si="23"/>
        <v>0</v>
      </c>
      <c r="AK56" s="187">
        <f t="shared" si="24"/>
        <v>0</v>
      </c>
      <c r="AL56" s="194"/>
      <c r="AM56" s="163"/>
      <c r="AN56" s="163"/>
      <c r="AO56" s="163"/>
      <c r="AP56" s="163"/>
      <c r="AQ56" s="163"/>
      <c r="AR56" s="163"/>
      <c r="AS56" s="163"/>
      <c r="AT56" s="163"/>
      <c r="AU56" s="163"/>
      <c r="AV56" s="163"/>
      <c r="AW56" s="163"/>
      <c r="AX56" s="163"/>
      <c r="AY56" s="163"/>
      <c r="AZ56" s="165"/>
      <c r="BA56" s="165"/>
      <c r="BB56" s="165"/>
      <c r="BC56" s="165"/>
      <c r="BD56" s="165"/>
      <c r="BE56" s="165"/>
    </row>
    <row r="57" spans="3:57" ht="15" customHeight="1">
      <c r="C57" s="81" t="str">
        <f>"TOTAL "&amp;MID(C48,8,100)</f>
        <v>TOTAL FEDERAL REVENUE - GENERAL PURPOSE</v>
      </c>
      <c r="E57" s="319"/>
      <c r="F57" s="320"/>
      <c r="H57" s="189"/>
      <c r="I57" s="193"/>
      <c r="J57" s="193"/>
      <c r="K57" s="193"/>
      <c r="L57" s="193"/>
      <c r="M57" s="217"/>
      <c r="N57" s="292"/>
      <c r="Y57" s="183" t="s">
        <v>21</v>
      </c>
      <c r="Z57" s="184" t="str">
        <f t="shared" si="14"/>
        <v>TOTAL FEDERAL REVENUE - GENERAL PURPOSE</v>
      </c>
      <c r="AA57" s="318"/>
      <c r="AB57" s="187">
        <f t="shared" si="15"/>
        <v>0</v>
      </c>
      <c r="AC57" s="187">
        <f t="shared" si="16"/>
        <v>0</v>
      </c>
      <c r="AD57" s="187">
        <f t="shared" si="17"/>
        <v>0</v>
      </c>
      <c r="AE57" s="187">
        <f t="shared" si="18"/>
        <v>0</v>
      </c>
      <c r="AF57" s="187">
        <f t="shared" si="19"/>
        <v>0</v>
      </c>
      <c r="AG57" s="187">
        <f t="shared" si="20"/>
        <v>0</v>
      </c>
      <c r="AH57" s="187">
        <f t="shared" si="21"/>
        <v>0</v>
      </c>
      <c r="AI57" s="187">
        <f t="shared" si="22"/>
        <v>0</v>
      </c>
      <c r="AJ57" s="187">
        <f t="shared" si="23"/>
        <v>0</v>
      </c>
      <c r="AK57" s="187">
        <f t="shared" si="24"/>
        <v>0</v>
      </c>
      <c r="AL57" s="194"/>
      <c r="AM57" s="163"/>
      <c r="AN57" s="163"/>
      <c r="AO57" s="163"/>
      <c r="AP57" s="163"/>
      <c r="AQ57" s="163"/>
      <c r="AR57" s="163"/>
      <c r="AS57" s="163"/>
      <c r="AT57" s="163"/>
      <c r="AU57" s="163"/>
      <c r="AV57" s="163"/>
      <c r="AW57" s="163"/>
      <c r="AX57" s="163"/>
      <c r="AY57" s="163"/>
      <c r="AZ57" s="165"/>
      <c r="BA57" s="165"/>
      <c r="BB57" s="165"/>
      <c r="BC57" s="165"/>
      <c r="BD57" s="165"/>
      <c r="BE57" s="165"/>
    </row>
    <row r="58" spans="3:57" ht="6" customHeight="1">
      <c r="C58" s="280"/>
      <c r="E58" s="319"/>
      <c r="F58" s="320"/>
      <c r="H58" s="189"/>
      <c r="I58" s="193"/>
      <c r="J58" s="193"/>
      <c r="K58" s="193"/>
      <c r="L58" s="193"/>
      <c r="M58" s="217"/>
      <c r="N58" s="292"/>
      <c r="Y58" s="183" t="s">
        <v>21</v>
      </c>
      <c r="Z58" s="184">
        <f t="shared" si="14"/>
        <v>0</v>
      </c>
      <c r="AA58" s="318"/>
      <c r="AB58" s="187">
        <f t="shared" si="15"/>
        <v>0</v>
      </c>
      <c r="AC58" s="187">
        <f t="shared" si="16"/>
        <v>0</v>
      </c>
      <c r="AD58" s="187">
        <f t="shared" si="17"/>
        <v>0</v>
      </c>
      <c r="AE58" s="187">
        <f t="shared" si="18"/>
        <v>0</v>
      </c>
      <c r="AF58" s="187">
        <f t="shared" si="19"/>
        <v>0</v>
      </c>
      <c r="AG58" s="187">
        <f t="shared" si="20"/>
        <v>0</v>
      </c>
      <c r="AH58" s="187">
        <f t="shared" si="21"/>
        <v>0</v>
      </c>
      <c r="AI58" s="187">
        <f t="shared" si="22"/>
        <v>0</v>
      </c>
      <c r="AJ58" s="187">
        <f t="shared" si="23"/>
        <v>0</v>
      </c>
      <c r="AK58" s="187">
        <f t="shared" si="24"/>
        <v>0</v>
      </c>
      <c r="AL58" s="194"/>
      <c r="AM58" s="163"/>
      <c r="AN58" s="163"/>
      <c r="AO58" s="163"/>
      <c r="AP58" s="163"/>
      <c r="AQ58" s="163"/>
      <c r="AR58" s="163"/>
      <c r="AS58" s="163"/>
      <c r="AT58" s="163"/>
      <c r="AU58" s="163"/>
      <c r="AV58" s="163"/>
      <c r="AW58" s="163"/>
      <c r="AX58" s="163"/>
      <c r="AY58" s="163"/>
      <c r="AZ58" s="165"/>
      <c r="BA58" s="165"/>
      <c r="BB58" s="165"/>
      <c r="BC58" s="165"/>
      <c r="BD58" s="165"/>
      <c r="BE58" s="165"/>
    </row>
    <row r="59" spans="3:57" ht="15" customHeight="1">
      <c r="C59" s="317" t="s">
        <v>260</v>
      </c>
      <c r="E59" s="319"/>
      <c r="F59" s="320"/>
      <c r="H59" s="189"/>
      <c r="I59" s="193"/>
      <c r="J59" s="193"/>
      <c r="K59" s="193"/>
      <c r="L59" s="193"/>
      <c r="M59" s="217"/>
      <c r="N59" s="292"/>
      <c r="Y59" s="183" t="s">
        <v>21</v>
      </c>
      <c r="Z59" s="184" t="str">
        <f t="shared" si="14"/>
        <v>6000 - FEDERAL REVENUE - SPECIAL PURPOSE</v>
      </c>
      <c r="AA59" s="318"/>
      <c r="AB59" s="187">
        <f t="shared" si="15"/>
        <v>0</v>
      </c>
      <c r="AC59" s="187">
        <f t="shared" si="16"/>
        <v>0</v>
      </c>
      <c r="AD59" s="187">
        <f t="shared" si="17"/>
        <v>0</v>
      </c>
      <c r="AE59" s="187">
        <f t="shared" si="18"/>
        <v>0</v>
      </c>
      <c r="AF59" s="187">
        <f t="shared" si="19"/>
        <v>0</v>
      </c>
      <c r="AG59" s="187">
        <f t="shared" si="20"/>
        <v>0</v>
      </c>
      <c r="AH59" s="187">
        <f t="shared" si="21"/>
        <v>0</v>
      </c>
      <c r="AI59" s="187">
        <f t="shared" si="22"/>
        <v>0</v>
      </c>
      <c r="AJ59" s="187">
        <f t="shared" si="23"/>
        <v>0</v>
      </c>
      <c r="AK59" s="187">
        <f t="shared" si="24"/>
        <v>0</v>
      </c>
      <c r="AL59" s="194"/>
      <c r="AM59" s="163"/>
      <c r="AN59" s="163"/>
      <c r="AO59" s="163"/>
      <c r="AP59" s="163"/>
      <c r="AQ59" s="163"/>
      <c r="AR59" s="163"/>
      <c r="AS59" s="163"/>
      <c r="AT59" s="163"/>
      <c r="AU59" s="163"/>
      <c r="AV59" s="163"/>
      <c r="AW59" s="163"/>
      <c r="AX59" s="163"/>
      <c r="AY59" s="163"/>
      <c r="AZ59" s="165"/>
      <c r="BA59" s="165"/>
      <c r="BB59" s="165"/>
      <c r="BC59" s="165"/>
      <c r="BD59" s="165"/>
      <c r="BE59" s="165"/>
    </row>
    <row r="60" spans="3:57" ht="15" customHeight="1">
      <c r="C60" s="321" t="s">
        <v>265</v>
      </c>
      <c r="E60" s="2"/>
      <c r="F60" s="50">
        <v>0</v>
      </c>
      <c r="H60" s="51">
        <v>0</v>
      </c>
      <c r="I60" s="51">
        <v>0</v>
      </c>
      <c r="J60" s="51">
        <v>0</v>
      </c>
      <c r="K60" s="51">
        <v>0</v>
      </c>
      <c r="L60" s="51">
        <v>0</v>
      </c>
      <c r="M60" s="217"/>
      <c r="N60" s="292"/>
      <c r="Y60" s="183" t="s">
        <v>21</v>
      </c>
      <c r="Z60" s="184" t="str">
        <f t="shared" si="14"/>
        <v xml:space="preserve">6100 - Special Purpose - OSPI Unassigned    </v>
      </c>
      <c r="AA60" s="318"/>
      <c r="AB60" s="187">
        <f t="shared" si="15"/>
        <v>0</v>
      </c>
      <c r="AC60" s="187">
        <f t="shared" si="16"/>
        <v>0</v>
      </c>
      <c r="AD60" s="187">
        <f t="shared" si="17"/>
        <v>0</v>
      </c>
      <c r="AE60" s="187">
        <f t="shared" si="18"/>
        <v>0</v>
      </c>
      <c r="AF60" s="187">
        <f t="shared" si="19"/>
        <v>0</v>
      </c>
      <c r="AG60" s="187">
        <f t="shared" si="20"/>
        <v>0</v>
      </c>
      <c r="AH60" s="187">
        <f t="shared" si="21"/>
        <v>0</v>
      </c>
      <c r="AI60" s="187">
        <f t="shared" si="22"/>
        <v>0</v>
      </c>
      <c r="AJ60" s="187">
        <f t="shared" si="23"/>
        <v>0</v>
      </c>
      <c r="AK60" s="187">
        <f t="shared" si="24"/>
        <v>0</v>
      </c>
      <c r="AL60" s="194"/>
      <c r="AM60" s="163"/>
      <c r="AN60" s="163"/>
      <c r="AO60" s="163"/>
      <c r="AP60" s="163"/>
      <c r="AQ60" s="163"/>
      <c r="AR60" s="163"/>
      <c r="AS60" s="163"/>
      <c r="AT60" s="163"/>
      <c r="AU60" s="163"/>
      <c r="AV60" s="163"/>
      <c r="AW60" s="163"/>
      <c r="AX60" s="163"/>
      <c r="AY60" s="163"/>
      <c r="AZ60" s="165"/>
      <c r="BA60" s="165"/>
      <c r="BB60" s="165"/>
      <c r="BC60" s="165"/>
      <c r="BD60" s="165"/>
      <c r="BE60" s="165"/>
    </row>
    <row r="61" spans="3:57" ht="15" customHeight="1">
      <c r="C61" s="321" t="s">
        <v>266</v>
      </c>
      <c r="E61" s="2"/>
      <c r="F61" s="50">
        <v>0</v>
      </c>
      <c r="H61" s="51">
        <v>0</v>
      </c>
      <c r="I61" s="51">
        <v>0</v>
      </c>
      <c r="J61" s="51">
        <v>0</v>
      </c>
      <c r="K61" s="51">
        <v>0</v>
      </c>
      <c r="L61" s="51">
        <v>0</v>
      </c>
      <c r="M61" s="217"/>
      <c r="N61" s="292"/>
      <c r="Y61" s="183" t="s">
        <v>21</v>
      </c>
      <c r="Z61" s="184" t="str">
        <f t="shared" si="14"/>
        <v xml:space="preserve">6198 - School Food Services     </v>
      </c>
      <c r="AA61" s="318"/>
      <c r="AB61" s="187">
        <f t="shared" si="15"/>
        <v>0</v>
      </c>
      <c r="AC61" s="187">
        <f t="shared" si="16"/>
        <v>0</v>
      </c>
      <c r="AD61" s="187">
        <f t="shared" si="17"/>
        <v>0</v>
      </c>
      <c r="AE61" s="187">
        <f t="shared" si="18"/>
        <v>0</v>
      </c>
      <c r="AF61" s="187">
        <f t="shared" si="19"/>
        <v>0</v>
      </c>
      <c r="AG61" s="187">
        <f t="shared" si="20"/>
        <v>0</v>
      </c>
      <c r="AH61" s="187">
        <f t="shared" si="21"/>
        <v>0</v>
      </c>
      <c r="AI61" s="187">
        <f t="shared" si="22"/>
        <v>0</v>
      </c>
      <c r="AJ61" s="187">
        <f t="shared" si="23"/>
        <v>0</v>
      </c>
      <c r="AK61" s="187">
        <f t="shared" si="24"/>
        <v>0</v>
      </c>
      <c r="AL61" s="194"/>
      <c r="AM61" s="163"/>
      <c r="AN61" s="163"/>
      <c r="AO61" s="163"/>
      <c r="AP61" s="163"/>
      <c r="AQ61" s="163"/>
      <c r="AR61" s="163"/>
      <c r="AS61" s="163"/>
      <c r="AT61" s="163"/>
      <c r="AU61" s="163"/>
      <c r="AV61" s="163"/>
      <c r="AW61" s="163"/>
      <c r="AX61" s="163"/>
      <c r="AY61" s="163"/>
      <c r="AZ61" s="165"/>
      <c r="BA61" s="165"/>
      <c r="BB61" s="165"/>
      <c r="BC61" s="165"/>
      <c r="BD61" s="165"/>
      <c r="BE61" s="165"/>
    </row>
    <row r="62" spans="3:57" ht="15" customHeight="1">
      <c r="C62" s="327" t="s">
        <v>132</v>
      </c>
      <c r="E62" s="325"/>
      <c r="F62" s="50">
        <v>0</v>
      </c>
      <c r="H62" s="51">
        <v>0</v>
      </c>
      <c r="I62" s="51">
        <v>0</v>
      </c>
      <c r="J62" s="51">
        <v>0</v>
      </c>
      <c r="K62" s="51">
        <v>0</v>
      </c>
      <c r="L62" s="51">
        <v>0</v>
      </c>
      <c r="M62" s="217"/>
      <c r="N62" s="292"/>
      <c r="Y62" s="183" t="s">
        <v>21</v>
      </c>
      <c r="Z62" s="184" t="str">
        <f t="shared" si="14"/>
        <v>Free Breakfast Reimbursement</v>
      </c>
      <c r="AA62" s="318"/>
      <c r="AB62" s="187">
        <f t="shared" si="15"/>
        <v>0</v>
      </c>
      <c r="AC62" s="187">
        <f t="shared" si="16"/>
        <v>0</v>
      </c>
      <c r="AD62" s="187">
        <f t="shared" si="17"/>
        <v>0</v>
      </c>
      <c r="AE62" s="187">
        <f t="shared" si="18"/>
        <v>0</v>
      </c>
      <c r="AF62" s="187">
        <f t="shared" si="19"/>
        <v>0</v>
      </c>
      <c r="AG62" s="187">
        <f t="shared" si="20"/>
        <v>0</v>
      </c>
      <c r="AH62" s="187">
        <f t="shared" si="21"/>
        <v>0</v>
      </c>
      <c r="AI62" s="187">
        <f t="shared" si="22"/>
        <v>0</v>
      </c>
      <c r="AJ62" s="187">
        <f t="shared" si="23"/>
        <v>0</v>
      </c>
      <c r="AK62" s="187">
        <f t="shared" si="24"/>
        <v>0</v>
      </c>
      <c r="AL62" s="194"/>
      <c r="AM62" s="163"/>
      <c r="AN62" s="163"/>
      <c r="AO62" s="163"/>
      <c r="AP62" s="163"/>
      <c r="AQ62" s="163"/>
      <c r="AR62" s="163"/>
      <c r="AS62" s="163"/>
      <c r="AT62" s="163"/>
      <c r="AU62" s="163"/>
      <c r="AV62" s="163"/>
      <c r="AW62" s="163"/>
      <c r="AX62" s="163"/>
      <c r="AY62" s="163"/>
      <c r="AZ62" s="165"/>
      <c r="BA62" s="165"/>
      <c r="BB62" s="165"/>
      <c r="BC62" s="165"/>
      <c r="BD62" s="165"/>
      <c r="BE62" s="165"/>
    </row>
    <row r="63" spans="3:57" ht="15" customHeight="1">
      <c r="C63" s="327" t="s">
        <v>133</v>
      </c>
      <c r="E63" s="325"/>
      <c r="F63" s="50">
        <v>0</v>
      </c>
      <c r="H63" s="51">
        <v>0</v>
      </c>
      <c r="I63" s="51">
        <v>0</v>
      </c>
      <c r="J63" s="51">
        <v>0</v>
      </c>
      <c r="K63" s="51">
        <v>0</v>
      </c>
      <c r="L63" s="51">
        <v>0</v>
      </c>
      <c r="M63" s="217"/>
      <c r="N63" s="292"/>
      <c r="Y63" s="183" t="s">
        <v>21</v>
      </c>
      <c r="Z63" s="184" t="str">
        <f t="shared" si="14"/>
        <v>Reduced Breakfast Reimbursement</v>
      </c>
      <c r="AA63" s="318"/>
      <c r="AB63" s="187">
        <f t="shared" si="15"/>
        <v>0</v>
      </c>
      <c r="AC63" s="187">
        <f t="shared" si="16"/>
        <v>0</v>
      </c>
      <c r="AD63" s="187">
        <f t="shared" si="17"/>
        <v>0</v>
      </c>
      <c r="AE63" s="187">
        <f t="shared" si="18"/>
        <v>0</v>
      </c>
      <c r="AF63" s="187">
        <f t="shared" si="19"/>
        <v>0</v>
      </c>
      <c r="AG63" s="187">
        <f t="shared" si="20"/>
        <v>0</v>
      </c>
      <c r="AH63" s="187">
        <f t="shared" si="21"/>
        <v>0</v>
      </c>
      <c r="AI63" s="187">
        <f t="shared" si="22"/>
        <v>0</v>
      </c>
      <c r="AJ63" s="187">
        <f t="shared" si="23"/>
        <v>0</v>
      </c>
      <c r="AK63" s="187">
        <f t="shared" si="24"/>
        <v>0</v>
      </c>
      <c r="AL63" s="194"/>
      <c r="AM63" s="163"/>
      <c r="AN63" s="163"/>
      <c r="AO63" s="163"/>
      <c r="AP63" s="163"/>
      <c r="AQ63" s="163"/>
      <c r="AR63" s="163"/>
      <c r="AS63" s="163"/>
      <c r="AT63" s="163"/>
      <c r="AU63" s="163"/>
      <c r="AV63" s="163"/>
      <c r="AW63" s="163"/>
      <c r="AX63" s="163"/>
      <c r="AY63" s="163"/>
      <c r="AZ63" s="165"/>
      <c r="BA63" s="165"/>
      <c r="BB63" s="165"/>
      <c r="BC63" s="165"/>
      <c r="BD63" s="165"/>
      <c r="BE63" s="165"/>
    </row>
    <row r="64" spans="3:57" ht="15" customHeight="1">
      <c r="C64" s="327" t="s">
        <v>134</v>
      </c>
      <c r="E64" s="325"/>
      <c r="F64" s="50">
        <v>0</v>
      </c>
      <c r="H64" s="51">
        <v>0</v>
      </c>
      <c r="I64" s="51">
        <v>0</v>
      </c>
      <c r="J64" s="51">
        <v>0</v>
      </c>
      <c r="K64" s="51">
        <v>0</v>
      </c>
      <c r="L64" s="51">
        <v>0</v>
      </c>
      <c r="M64" s="217"/>
      <c r="N64" s="292"/>
      <c r="Y64" s="183" t="s">
        <v>21</v>
      </c>
      <c r="Z64" s="184" t="str">
        <f t="shared" si="14"/>
        <v>Paid Breakfast Reimbursement</v>
      </c>
      <c r="AA64" s="318"/>
      <c r="AB64" s="187">
        <f t="shared" si="15"/>
        <v>0</v>
      </c>
      <c r="AC64" s="187">
        <f t="shared" si="16"/>
        <v>0</v>
      </c>
      <c r="AD64" s="187">
        <f t="shared" si="17"/>
        <v>0</v>
      </c>
      <c r="AE64" s="187">
        <f t="shared" si="18"/>
        <v>0</v>
      </c>
      <c r="AF64" s="187">
        <f t="shared" si="19"/>
        <v>0</v>
      </c>
      <c r="AG64" s="187">
        <f t="shared" si="20"/>
        <v>0</v>
      </c>
      <c r="AH64" s="187">
        <f t="shared" si="21"/>
        <v>0</v>
      </c>
      <c r="AI64" s="187">
        <f t="shared" si="22"/>
        <v>0</v>
      </c>
      <c r="AJ64" s="187">
        <f t="shared" si="23"/>
        <v>0</v>
      </c>
      <c r="AK64" s="187">
        <f t="shared" si="24"/>
        <v>0</v>
      </c>
      <c r="AL64" s="194"/>
      <c r="AM64" s="163"/>
      <c r="AN64" s="163"/>
      <c r="AO64" s="163"/>
      <c r="AP64" s="163"/>
      <c r="AQ64" s="163"/>
      <c r="AR64" s="163"/>
      <c r="AS64" s="163"/>
      <c r="AT64" s="163"/>
      <c r="AU64" s="163"/>
      <c r="AV64" s="163"/>
      <c r="AW64" s="163"/>
      <c r="AX64" s="163"/>
      <c r="AY64" s="163"/>
      <c r="AZ64" s="165"/>
      <c r="BA64" s="165"/>
      <c r="BB64" s="165"/>
      <c r="BC64" s="165"/>
      <c r="BD64" s="165"/>
      <c r="BE64" s="165"/>
    </row>
    <row r="65" spans="3:57" ht="15" customHeight="1">
      <c r="C65" s="327" t="s">
        <v>135</v>
      </c>
      <c r="E65" s="325"/>
      <c r="F65" s="50">
        <v>0</v>
      </c>
      <c r="H65" s="51">
        <v>0</v>
      </c>
      <c r="I65" s="51">
        <v>0</v>
      </c>
      <c r="J65" s="51">
        <v>0</v>
      </c>
      <c r="K65" s="51">
        <v>0</v>
      </c>
      <c r="L65" s="51">
        <v>0</v>
      </c>
      <c r="M65" s="217"/>
      <c r="N65" s="292"/>
      <c r="Y65" s="183" t="s">
        <v>21</v>
      </c>
      <c r="Z65" s="184" t="str">
        <f t="shared" si="14"/>
        <v xml:space="preserve">Free Lunch Reimbursement </v>
      </c>
      <c r="AA65" s="318"/>
      <c r="AB65" s="187">
        <f t="shared" si="15"/>
        <v>0</v>
      </c>
      <c r="AC65" s="187">
        <f t="shared" si="16"/>
        <v>0</v>
      </c>
      <c r="AD65" s="187">
        <f t="shared" si="17"/>
        <v>0</v>
      </c>
      <c r="AE65" s="187">
        <f t="shared" si="18"/>
        <v>0</v>
      </c>
      <c r="AF65" s="187">
        <f t="shared" si="19"/>
        <v>0</v>
      </c>
      <c r="AG65" s="187">
        <f t="shared" si="20"/>
        <v>0</v>
      </c>
      <c r="AH65" s="187">
        <f t="shared" si="21"/>
        <v>0</v>
      </c>
      <c r="AI65" s="187">
        <f t="shared" si="22"/>
        <v>0</v>
      </c>
      <c r="AJ65" s="187">
        <f t="shared" si="23"/>
        <v>0</v>
      </c>
      <c r="AK65" s="187">
        <f t="shared" si="24"/>
        <v>0</v>
      </c>
      <c r="AL65" s="194"/>
      <c r="AM65" s="163"/>
      <c r="AN65" s="163"/>
      <c r="AO65" s="163"/>
      <c r="AP65" s="163"/>
      <c r="AQ65" s="163"/>
      <c r="AR65" s="163"/>
      <c r="AS65" s="163"/>
      <c r="AT65" s="163"/>
      <c r="AU65" s="163"/>
      <c r="AV65" s="163"/>
      <c r="AW65" s="163"/>
      <c r="AX65" s="163"/>
      <c r="AY65" s="163"/>
      <c r="AZ65" s="165"/>
      <c r="BA65" s="165"/>
      <c r="BB65" s="165"/>
      <c r="BC65" s="165"/>
      <c r="BD65" s="165"/>
      <c r="BE65" s="165"/>
    </row>
    <row r="66" spans="3:57" ht="15" customHeight="1">
      <c r="C66" s="327" t="s">
        <v>136</v>
      </c>
      <c r="E66" s="325"/>
      <c r="F66" s="50">
        <v>0</v>
      </c>
      <c r="H66" s="51">
        <v>0</v>
      </c>
      <c r="I66" s="51">
        <v>0</v>
      </c>
      <c r="J66" s="51">
        <v>0</v>
      </c>
      <c r="K66" s="51">
        <v>0</v>
      </c>
      <c r="L66" s="51">
        <v>0</v>
      </c>
      <c r="M66" s="217"/>
      <c r="N66" s="292"/>
      <c r="Y66" s="183" t="s">
        <v>21</v>
      </c>
      <c r="Z66" s="184" t="str">
        <f t="shared" si="14"/>
        <v>Reduced Lunch Reimbursement</v>
      </c>
      <c r="AA66" s="318"/>
      <c r="AB66" s="187">
        <f t="shared" si="15"/>
        <v>0</v>
      </c>
      <c r="AC66" s="187">
        <f t="shared" si="16"/>
        <v>0</v>
      </c>
      <c r="AD66" s="187">
        <f t="shared" si="17"/>
        <v>0</v>
      </c>
      <c r="AE66" s="187">
        <f t="shared" si="18"/>
        <v>0</v>
      </c>
      <c r="AF66" s="187">
        <f t="shared" si="19"/>
        <v>0</v>
      </c>
      <c r="AG66" s="187">
        <f t="shared" si="20"/>
        <v>0</v>
      </c>
      <c r="AH66" s="187">
        <f t="shared" si="21"/>
        <v>0</v>
      </c>
      <c r="AI66" s="187">
        <f t="shared" si="22"/>
        <v>0</v>
      </c>
      <c r="AJ66" s="187">
        <f t="shared" si="23"/>
        <v>0</v>
      </c>
      <c r="AK66" s="187">
        <f t="shared" si="24"/>
        <v>0</v>
      </c>
      <c r="AL66" s="194"/>
      <c r="AM66" s="163"/>
      <c r="AN66" s="163"/>
      <c r="AO66" s="163"/>
      <c r="AP66" s="163"/>
      <c r="AQ66" s="163"/>
      <c r="AR66" s="163"/>
      <c r="AS66" s="163"/>
      <c r="AT66" s="163"/>
      <c r="AU66" s="163"/>
      <c r="AV66" s="163"/>
      <c r="AW66" s="163"/>
      <c r="AX66" s="163"/>
      <c r="AY66" s="163"/>
      <c r="AZ66" s="165"/>
      <c r="BA66" s="165"/>
      <c r="BB66" s="165"/>
      <c r="BC66" s="165"/>
      <c r="BD66" s="165"/>
      <c r="BE66" s="165"/>
    </row>
    <row r="67" spans="3:57" ht="15" customHeight="1">
      <c r="C67" s="327" t="s">
        <v>137</v>
      </c>
      <c r="E67" s="325"/>
      <c r="F67" s="50">
        <v>0</v>
      </c>
      <c r="H67" s="51">
        <v>0</v>
      </c>
      <c r="I67" s="51">
        <v>0</v>
      </c>
      <c r="J67" s="51">
        <v>0</v>
      </c>
      <c r="K67" s="51">
        <v>0</v>
      </c>
      <c r="L67" s="51">
        <v>0</v>
      </c>
      <c r="M67" s="217"/>
      <c r="N67" s="292"/>
      <c r="Y67" s="183" t="s">
        <v>21</v>
      </c>
      <c r="Z67" s="184" t="str">
        <f t="shared" si="14"/>
        <v>Paid Lunch Reimbursement</v>
      </c>
      <c r="AA67" s="318"/>
      <c r="AB67" s="187">
        <f t="shared" si="15"/>
        <v>0</v>
      </c>
      <c r="AC67" s="187">
        <f t="shared" si="16"/>
        <v>0</v>
      </c>
      <c r="AD67" s="187">
        <f t="shared" si="17"/>
        <v>0</v>
      </c>
      <c r="AE67" s="187">
        <f t="shared" si="18"/>
        <v>0</v>
      </c>
      <c r="AF67" s="187">
        <f t="shared" si="19"/>
        <v>0</v>
      </c>
      <c r="AG67" s="187">
        <f t="shared" si="20"/>
        <v>0</v>
      </c>
      <c r="AH67" s="187">
        <f t="shared" si="21"/>
        <v>0</v>
      </c>
      <c r="AI67" s="187">
        <f t="shared" si="22"/>
        <v>0</v>
      </c>
      <c r="AJ67" s="187">
        <f t="shared" si="23"/>
        <v>0</v>
      </c>
      <c r="AK67" s="187">
        <f t="shared" si="24"/>
        <v>0</v>
      </c>
      <c r="AL67" s="194"/>
      <c r="AM67" s="163"/>
      <c r="AN67" s="163"/>
      <c r="AO67" s="163"/>
      <c r="AP67" s="163"/>
      <c r="AQ67" s="163"/>
      <c r="AR67" s="163"/>
      <c r="AS67" s="163"/>
      <c r="AT67" s="163"/>
      <c r="AU67" s="163"/>
      <c r="AV67" s="163"/>
      <c r="AW67" s="163"/>
      <c r="AX67" s="163"/>
      <c r="AY67" s="163"/>
      <c r="AZ67" s="165"/>
      <c r="BA67" s="165"/>
      <c r="BB67" s="165"/>
      <c r="BC67" s="165"/>
      <c r="BD67" s="165"/>
      <c r="BE67" s="165"/>
    </row>
    <row r="68" spans="3:57" ht="15" customHeight="1">
      <c r="C68" s="327" t="s">
        <v>138</v>
      </c>
      <c r="E68" s="325"/>
      <c r="F68" s="50">
        <v>0</v>
      </c>
      <c r="H68" s="51">
        <v>0</v>
      </c>
      <c r="I68" s="51">
        <v>0</v>
      </c>
      <c r="J68" s="51">
        <v>0</v>
      </c>
      <c r="K68" s="51">
        <v>0</v>
      </c>
      <c r="L68" s="51">
        <v>0</v>
      </c>
      <c r="M68" s="217"/>
      <c r="N68" s="292"/>
      <c r="Y68" s="183" t="s">
        <v>21</v>
      </c>
      <c r="Z68" s="184" t="str">
        <f t="shared" si="14"/>
        <v>Snack Reimbursement</v>
      </c>
      <c r="AA68" s="318"/>
      <c r="AB68" s="187">
        <f t="shared" si="15"/>
        <v>0</v>
      </c>
      <c r="AC68" s="187">
        <f t="shared" si="16"/>
        <v>0</v>
      </c>
      <c r="AD68" s="187">
        <f t="shared" si="17"/>
        <v>0</v>
      </c>
      <c r="AE68" s="187">
        <f t="shared" si="18"/>
        <v>0</v>
      </c>
      <c r="AF68" s="187">
        <f t="shared" si="19"/>
        <v>0</v>
      </c>
      <c r="AG68" s="187">
        <f t="shared" si="20"/>
        <v>0</v>
      </c>
      <c r="AH68" s="187">
        <f t="shared" si="21"/>
        <v>0</v>
      </c>
      <c r="AI68" s="187">
        <f t="shared" si="22"/>
        <v>0</v>
      </c>
      <c r="AJ68" s="187">
        <f t="shared" si="23"/>
        <v>0</v>
      </c>
      <c r="AK68" s="187">
        <f t="shared" si="24"/>
        <v>0</v>
      </c>
      <c r="AL68" s="194"/>
      <c r="AM68" s="163"/>
      <c r="AN68" s="163"/>
      <c r="AO68" s="163"/>
      <c r="AP68" s="163"/>
      <c r="AQ68" s="163"/>
      <c r="AR68" s="163"/>
      <c r="AS68" s="163"/>
      <c r="AT68" s="163"/>
      <c r="AU68" s="163"/>
      <c r="AV68" s="163"/>
      <c r="AW68" s="163"/>
      <c r="AX68" s="163"/>
      <c r="AY68" s="163"/>
      <c r="AZ68" s="165"/>
      <c r="BA68" s="165"/>
      <c r="BB68" s="165"/>
      <c r="BC68" s="165"/>
      <c r="BD68" s="165"/>
      <c r="BE68" s="165"/>
    </row>
    <row r="69" spans="3:57" ht="15" customHeight="1">
      <c r="C69" s="332" t="str">
        <f>"Total "&amp;C61</f>
        <v xml:space="preserve">Total 6198 - School Food Services     </v>
      </c>
      <c r="E69" s="319"/>
      <c r="F69" s="320"/>
      <c r="H69" s="189"/>
      <c r="I69" s="193"/>
      <c r="J69" s="193"/>
      <c r="K69" s="193"/>
      <c r="L69" s="193"/>
      <c r="M69" s="217"/>
      <c r="N69" s="292"/>
      <c r="Y69" s="183"/>
      <c r="Z69" s="184"/>
      <c r="AA69" s="318"/>
      <c r="AB69" s="318"/>
      <c r="AC69" s="318"/>
      <c r="AD69" s="318"/>
      <c r="AE69" s="318"/>
      <c r="AF69" s="318"/>
      <c r="AG69" s="318"/>
      <c r="AH69" s="318"/>
      <c r="AI69" s="318"/>
      <c r="AJ69" s="318"/>
      <c r="AK69" s="318"/>
      <c r="AL69" s="194"/>
      <c r="AM69" s="163"/>
      <c r="AN69" s="163"/>
      <c r="AO69" s="163"/>
      <c r="AP69" s="163"/>
      <c r="AQ69" s="163"/>
      <c r="AR69" s="163"/>
      <c r="AS69" s="163"/>
      <c r="AT69" s="163"/>
      <c r="AU69" s="163"/>
      <c r="AV69" s="163"/>
      <c r="AW69" s="163"/>
      <c r="AX69" s="163"/>
      <c r="AY69" s="163"/>
      <c r="AZ69" s="165"/>
      <c r="BA69" s="165"/>
      <c r="BB69" s="165"/>
      <c r="BC69" s="165"/>
      <c r="BD69" s="165"/>
      <c r="BE69" s="165"/>
    </row>
    <row r="70" spans="3:57" ht="15" customHeight="1">
      <c r="C70" s="211" t="str">
        <f>"Custom "&amp;MID(C59,8,100)</f>
        <v>Custom FEDERAL REVENUE - SPECIAL PURPOSE</v>
      </c>
      <c r="E70" s="2"/>
      <c r="F70" s="50">
        <v>0</v>
      </c>
      <c r="H70" s="51">
        <v>0</v>
      </c>
      <c r="I70" s="51">
        <v>0</v>
      </c>
      <c r="J70" s="51">
        <v>0</v>
      </c>
      <c r="K70" s="51">
        <v>0</v>
      </c>
      <c r="L70" s="51">
        <v>0</v>
      </c>
      <c r="M70" s="217"/>
      <c r="N70" s="292"/>
      <c r="Y70" s="183" t="s">
        <v>21</v>
      </c>
      <c r="Z70" s="184" t="str">
        <f t="shared" si="14"/>
        <v>Custom FEDERAL REVENUE - SPECIAL PURPOSE</v>
      </c>
      <c r="AA70" s="318"/>
      <c r="AB70" s="187">
        <f t="shared" si="15"/>
        <v>0</v>
      </c>
      <c r="AC70" s="187">
        <f t="shared" si="16"/>
        <v>0</v>
      </c>
      <c r="AD70" s="187">
        <f t="shared" si="17"/>
        <v>0</v>
      </c>
      <c r="AE70" s="187">
        <f t="shared" si="18"/>
        <v>0</v>
      </c>
      <c r="AF70" s="187">
        <f t="shared" si="19"/>
        <v>0</v>
      </c>
      <c r="AG70" s="187">
        <f t="shared" si="20"/>
        <v>0</v>
      </c>
      <c r="AH70" s="187">
        <f t="shared" si="21"/>
        <v>0</v>
      </c>
      <c r="AI70" s="187">
        <f t="shared" si="22"/>
        <v>0</v>
      </c>
      <c r="AJ70" s="187">
        <f t="shared" si="23"/>
        <v>0</v>
      </c>
      <c r="AK70" s="187">
        <f t="shared" si="24"/>
        <v>0</v>
      </c>
      <c r="AL70" s="194"/>
      <c r="AM70" s="163"/>
      <c r="AN70" s="163"/>
      <c r="AO70" s="163"/>
      <c r="AP70" s="163"/>
      <c r="AQ70" s="163"/>
      <c r="AR70" s="163"/>
      <c r="AS70" s="163"/>
      <c r="AT70" s="163"/>
      <c r="AU70" s="163"/>
      <c r="AV70" s="163"/>
      <c r="AW70" s="163"/>
      <c r="AX70" s="163"/>
      <c r="AY70" s="163"/>
      <c r="AZ70" s="165"/>
      <c r="BA70" s="165"/>
      <c r="BB70" s="165"/>
      <c r="BC70" s="165"/>
      <c r="BD70" s="165"/>
      <c r="BE70" s="165"/>
    </row>
    <row r="71" spans="3:57" ht="15" customHeight="1">
      <c r="C71" s="81" t="str">
        <f>"TOTAL "&amp;MID(C59,8,100)</f>
        <v>TOTAL FEDERAL REVENUE - SPECIAL PURPOSE</v>
      </c>
      <c r="E71" s="319"/>
      <c r="F71" s="320"/>
      <c r="H71" s="189"/>
      <c r="I71" s="193"/>
      <c r="J71" s="193"/>
      <c r="K71" s="193"/>
      <c r="L71" s="193"/>
      <c r="M71" s="217"/>
      <c r="N71" s="292"/>
      <c r="Y71" s="183" t="s">
        <v>21</v>
      </c>
      <c r="Z71" s="184" t="str">
        <f t="shared" si="14"/>
        <v>TOTAL FEDERAL REVENUE - SPECIAL PURPOSE</v>
      </c>
      <c r="AA71" s="318"/>
      <c r="AB71" s="187">
        <f t="shared" si="15"/>
        <v>0</v>
      </c>
      <c r="AC71" s="187">
        <f t="shared" si="16"/>
        <v>0</v>
      </c>
      <c r="AD71" s="187">
        <f t="shared" si="17"/>
        <v>0</v>
      </c>
      <c r="AE71" s="187">
        <f t="shared" si="18"/>
        <v>0</v>
      </c>
      <c r="AF71" s="187">
        <f t="shared" si="19"/>
        <v>0</v>
      </c>
      <c r="AG71" s="187">
        <f t="shared" si="20"/>
        <v>0</v>
      </c>
      <c r="AH71" s="187">
        <f t="shared" si="21"/>
        <v>0</v>
      </c>
      <c r="AI71" s="187">
        <f t="shared" si="22"/>
        <v>0</v>
      </c>
      <c r="AJ71" s="187">
        <f t="shared" si="23"/>
        <v>0</v>
      </c>
      <c r="AK71" s="187">
        <f t="shared" si="24"/>
        <v>0</v>
      </c>
      <c r="AL71" s="194"/>
      <c r="AM71" s="163"/>
      <c r="AN71" s="163"/>
      <c r="AO71" s="163"/>
      <c r="AP71" s="163"/>
      <c r="AQ71" s="163"/>
      <c r="AR71" s="163"/>
      <c r="AS71" s="163"/>
      <c r="AT71" s="163"/>
      <c r="AU71" s="163"/>
      <c r="AV71" s="163"/>
      <c r="AW71" s="163"/>
      <c r="AX71" s="163"/>
      <c r="AY71" s="163"/>
      <c r="AZ71" s="165"/>
      <c r="BA71" s="165"/>
      <c r="BB71" s="165"/>
      <c r="BC71" s="165"/>
      <c r="BD71" s="165"/>
      <c r="BE71" s="165"/>
    </row>
    <row r="72" spans="3:57" ht="6" customHeight="1">
      <c r="C72" s="280"/>
      <c r="E72" s="319"/>
      <c r="F72" s="320"/>
      <c r="H72" s="189"/>
      <c r="I72" s="193"/>
      <c r="J72" s="193"/>
      <c r="K72" s="193"/>
      <c r="L72" s="193"/>
      <c r="M72" s="217"/>
      <c r="N72" s="292"/>
      <c r="Y72" s="183" t="s">
        <v>21</v>
      </c>
      <c r="Z72" s="184">
        <f t="shared" si="14"/>
        <v>0</v>
      </c>
      <c r="AA72" s="318"/>
      <c r="AB72" s="187">
        <f t="shared" si="15"/>
        <v>0</v>
      </c>
      <c r="AC72" s="187">
        <f t="shared" si="16"/>
        <v>0</v>
      </c>
      <c r="AD72" s="187">
        <f t="shared" si="17"/>
        <v>0</v>
      </c>
      <c r="AE72" s="187">
        <f t="shared" si="18"/>
        <v>0</v>
      </c>
      <c r="AF72" s="187">
        <f t="shared" si="19"/>
        <v>0</v>
      </c>
      <c r="AG72" s="187">
        <f t="shared" si="20"/>
        <v>0</v>
      </c>
      <c r="AH72" s="187">
        <f t="shared" si="21"/>
        <v>0</v>
      </c>
      <c r="AI72" s="187">
        <f t="shared" si="22"/>
        <v>0</v>
      </c>
      <c r="AJ72" s="187">
        <f t="shared" si="23"/>
        <v>0</v>
      </c>
      <c r="AK72" s="187">
        <f t="shared" si="24"/>
        <v>0</v>
      </c>
      <c r="AL72" s="194"/>
      <c r="AM72" s="163"/>
      <c r="AN72" s="163"/>
      <c r="AO72" s="163"/>
      <c r="AP72" s="163"/>
      <c r="AQ72" s="163"/>
      <c r="AR72" s="163"/>
      <c r="AS72" s="163"/>
      <c r="AT72" s="163"/>
      <c r="AU72" s="163"/>
      <c r="AV72" s="163"/>
      <c r="AW72" s="163"/>
      <c r="AX72" s="163"/>
      <c r="AY72" s="163"/>
      <c r="AZ72" s="165"/>
      <c r="BA72" s="165"/>
      <c r="BB72" s="165"/>
      <c r="BC72" s="165"/>
      <c r="BD72" s="165"/>
      <c r="BE72" s="165"/>
    </row>
    <row r="73" spans="3:57" ht="15" customHeight="1">
      <c r="C73" s="317" t="s">
        <v>261</v>
      </c>
      <c r="E73" s="319"/>
      <c r="F73" s="320"/>
      <c r="H73" s="189"/>
      <c r="I73" s="193"/>
      <c r="J73" s="193"/>
      <c r="K73" s="193"/>
      <c r="L73" s="193"/>
      <c r="M73" s="217"/>
      <c r="N73" s="292"/>
      <c r="Y73" s="183" t="s">
        <v>21</v>
      </c>
      <c r="Z73" s="184" t="str">
        <f t="shared" si="14"/>
        <v>7000 - OTHER SCHOOL DISTRICTS</v>
      </c>
      <c r="AA73" s="318"/>
      <c r="AB73" s="187">
        <f t="shared" si="15"/>
        <v>0</v>
      </c>
      <c r="AC73" s="187">
        <f t="shared" si="16"/>
        <v>0</v>
      </c>
      <c r="AD73" s="187">
        <f t="shared" si="17"/>
        <v>0</v>
      </c>
      <c r="AE73" s="187">
        <f t="shared" si="18"/>
        <v>0</v>
      </c>
      <c r="AF73" s="187">
        <f t="shared" si="19"/>
        <v>0</v>
      </c>
      <c r="AG73" s="187">
        <f t="shared" si="20"/>
        <v>0</v>
      </c>
      <c r="AH73" s="187">
        <f t="shared" si="21"/>
        <v>0</v>
      </c>
      <c r="AI73" s="187">
        <f t="shared" si="22"/>
        <v>0</v>
      </c>
      <c r="AJ73" s="187">
        <f t="shared" si="23"/>
        <v>0</v>
      </c>
      <c r="AK73" s="187">
        <f t="shared" si="24"/>
        <v>0</v>
      </c>
      <c r="AL73" s="194"/>
      <c r="AM73" s="163"/>
      <c r="AN73" s="163"/>
      <c r="AO73" s="163"/>
      <c r="AP73" s="163"/>
      <c r="AQ73" s="163"/>
      <c r="AR73" s="163"/>
      <c r="AS73" s="163"/>
      <c r="AT73" s="163"/>
      <c r="AU73" s="163"/>
      <c r="AV73" s="163"/>
      <c r="AW73" s="163"/>
      <c r="AX73" s="163"/>
      <c r="AY73" s="163"/>
      <c r="AZ73" s="165"/>
      <c r="BA73" s="165"/>
      <c r="BB73" s="165"/>
      <c r="BC73" s="165"/>
      <c r="BD73" s="165"/>
      <c r="BE73" s="165"/>
    </row>
    <row r="74" spans="3:57" ht="15" customHeight="1">
      <c r="C74" s="321" t="s">
        <v>267</v>
      </c>
      <c r="E74" s="2"/>
      <c r="F74" s="50">
        <v>0</v>
      </c>
      <c r="H74" s="51">
        <v>0</v>
      </c>
      <c r="I74" s="51">
        <v>0</v>
      </c>
      <c r="J74" s="51">
        <v>0</v>
      </c>
      <c r="K74" s="51">
        <v>0</v>
      </c>
      <c r="L74" s="51">
        <v>0</v>
      </c>
      <c r="M74" s="217"/>
      <c r="N74" s="292"/>
      <c r="Y74" s="183" t="s">
        <v>21</v>
      </c>
      <c r="Z74" s="184" t="str">
        <f t="shared" si="14"/>
        <v xml:space="preserve">7100 - Program Participation, Unassigned </v>
      </c>
      <c r="AA74" s="318"/>
      <c r="AB74" s="187">
        <f t="shared" si="15"/>
        <v>0</v>
      </c>
      <c r="AC74" s="187">
        <f t="shared" si="16"/>
        <v>0</v>
      </c>
      <c r="AD74" s="187">
        <f t="shared" si="17"/>
        <v>0</v>
      </c>
      <c r="AE74" s="187">
        <f t="shared" si="18"/>
        <v>0</v>
      </c>
      <c r="AF74" s="187">
        <f t="shared" si="19"/>
        <v>0</v>
      </c>
      <c r="AG74" s="187">
        <f t="shared" si="20"/>
        <v>0</v>
      </c>
      <c r="AH74" s="187">
        <f t="shared" si="21"/>
        <v>0</v>
      </c>
      <c r="AI74" s="187">
        <f t="shared" si="22"/>
        <v>0</v>
      </c>
      <c r="AJ74" s="187">
        <f t="shared" si="23"/>
        <v>0</v>
      </c>
      <c r="AK74" s="187">
        <f t="shared" si="24"/>
        <v>0</v>
      </c>
      <c r="AL74" s="194"/>
      <c r="AM74" s="163"/>
      <c r="AN74" s="163"/>
      <c r="AO74" s="163"/>
      <c r="AP74" s="163"/>
      <c r="AQ74" s="163"/>
      <c r="AR74" s="163"/>
      <c r="AS74" s="163"/>
      <c r="AT74" s="163"/>
      <c r="AU74" s="163"/>
      <c r="AV74" s="163"/>
      <c r="AW74" s="163"/>
      <c r="AX74" s="163"/>
      <c r="AY74" s="163"/>
      <c r="AZ74" s="165"/>
      <c r="BA74" s="165"/>
      <c r="BB74" s="165"/>
      <c r="BC74" s="165"/>
      <c r="BD74" s="165"/>
      <c r="BE74" s="165"/>
    </row>
    <row r="75" spans="3:57" ht="15" customHeight="1">
      <c r="C75" s="211" t="str">
        <f>"Custom "&amp;MID(C73,8,100)</f>
        <v>Custom OTHER SCHOOL DISTRICTS</v>
      </c>
      <c r="E75" s="2"/>
      <c r="F75" s="50">
        <v>0</v>
      </c>
      <c r="H75" s="51">
        <v>0</v>
      </c>
      <c r="I75" s="51">
        <v>0</v>
      </c>
      <c r="J75" s="51">
        <v>0</v>
      </c>
      <c r="K75" s="51">
        <v>0</v>
      </c>
      <c r="L75" s="51">
        <v>0</v>
      </c>
      <c r="M75" s="217"/>
      <c r="N75" s="292"/>
      <c r="Y75" s="183" t="s">
        <v>21</v>
      </c>
      <c r="Z75" s="184" t="str">
        <f t="shared" si="14"/>
        <v>Custom OTHER SCHOOL DISTRICTS</v>
      </c>
      <c r="AA75" s="318"/>
      <c r="AB75" s="187">
        <f t="shared" si="15"/>
        <v>0</v>
      </c>
      <c r="AC75" s="187">
        <f t="shared" si="16"/>
        <v>0</v>
      </c>
      <c r="AD75" s="187">
        <f t="shared" si="17"/>
        <v>0</v>
      </c>
      <c r="AE75" s="187">
        <f t="shared" si="18"/>
        <v>0</v>
      </c>
      <c r="AF75" s="187">
        <f t="shared" si="19"/>
        <v>0</v>
      </c>
      <c r="AG75" s="187">
        <f t="shared" si="20"/>
        <v>0</v>
      </c>
      <c r="AH75" s="187">
        <f t="shared" si="21"/>
        <v>0</v>
      </c>
      <c r="AI75" s="187">
        <f t="shared" si="22"/>
        <v>0</v>
      </c>
      <c r="AJ75" s="187">
        <f t="shared" si="23"/>
        <v>0</v>
      </c>
      <c r="AK75" s="187">
        <f t="shared" si="24"/>
        <v>0</v>
      </c>
      <c r="AL75" s="194"/>
      <c r="AM75" s="163"/>
      <c r="AN75" s="163"/>
      <c r="AO75" s="163"/>
      <c r="AP75" s="163"/>
      <c r="AQ75" s="163"/>
      <c r="AR75" s="163"/>
      <c r="AS75" s="163"/>
      <c r="AT75" s="163"/>
      <c r="AU75" s="163"/>
      <c r="AV75" s="163"/>
      <c r="AW75" s="163"/>
      <c r="AX75" s="163"/>
      <c r="AY75" s="163"/>
      <c r="AZ75" s="165"/>
      <c r="BA75" s="165"/>
      <c r="BB75" s="165"/>
      <c r="BC75" s="165"/>
      <c r="BD75" s="165"/>
      <c r="BE75" s="165"/>
    </row>
    <row r="76" spans="3:57" ht="15" customHeight="1">
      <c r="C76" s="81" t="str">
        <f>"TOTAL "&amp;MID(C73,8,100)</f>
        <v>TOTAL OTHER SCHOOL DISTRICTS</v>
      </c>
      <c r="E76" s="319"/>
      <c r="F76" s="320"/>
      <c r="H76" s="189"/>
      <c r="I76" s="193"/>
      <c r="J76" s="193"/>
      <c r="K76" s="193"/>
      <c r="L76" s="193"/>
      <c r="M76" s="217"/>
      <c r="N76" s="292"/>
      <c r="Y76" s="183" t="s">
        <v>21</v>
      </c>
      <c r="Z76" s="184" t="str">
        <f t="shared" si="14"/>
        <v>TOTAL OTHER SCHOOL DISTRICTS</v>
      </c>
      <c r="AA76" s="318"/>
      <c r="AB76" s="187">
        <f t="shared" si="15"/>
        <v>0</v>
      </c>
      <c r="AC76" s="187">
        <f t="shared" si="16"/>
        <v>0</v>
      </c>
      <c r="AD76" s="187">
        <f t="shared" si="17"/>
        <v>0</v>
      </c>
      <c r="AE76" s="187">
        <f t="shared" si="18"/>
        <v>0</v>
      </c>
      <c r="AF76" s="187">
        <f t="shared" si="19"/>
        <v>0</v>
      </c>
      <c r="AG76" s="187">
        <f t="shared" si="20"/>
        <v>0</v>
      </c>
      <c r="AH76" s="187">
        <f t="shared" si="21"/>
        <v>0</v>
      </c>
      <c r="AI76" s="187">
        <f t="shared" si="22"/>
        <v>0</v>
      </c>
      <c r="AJ76" s="187">
        <f t="shared" si="23"/>
        <v>0</v>
      </c>
      <c r="AK76" s="187">
        <f t="shared" si="24"/>
        <v>0</v>
      </c>
      <c r="AL76" s="194"/>
      <c r="AM76" s="163"/>
      <c r="AN76" s="163"/>
      <c r="AO76" s="163"/>
      <c r="AP76" s="163"/>
      <c r="AQ76" s="163"/>
      <c r="AR76" s="163"/>
      <c r="AS76" s="163"/>
      <c r="AT76" s="163"/>
      <c r="AU76" s="163"/>
      <c r="AV76" s="163"/>
      <c r="AW76" s="163"/>
      <c r="AX76" s="163"/>
      <c r="AY76" s="163"/>
      <c r="AZ76" s="165"/>
      <c r="BA76" s="165"/>
      <c r="BB76" s="165"/>
      <c r="BC76" s="165"/>
      <c r="BD76" s="165"/>
      <c r="BE76" s="165"/>
    </row>
    <row r="77" spans="3:57" ht="6" customHeight="1">
      <c r="C77" s="280"/>
      <c r="E77" s="319"/>
      <c r="F77" s="320"/>
      <c r="H77" s="189"/>
      <c r="I77" s="193"/>
      <c r="J77" s="193"/>
      <c r="K77" s="193"/>
      <c r="L77" s="193"/>
      <c r="M77" s="217"/>
      <c r="N77" s="292"/>
      <c r="Y77" s="183" t="s">
        <v>21</v>
      </c>
      <c r="Z77" s="184">
        <f t="shared" si="14"/>
        <v>0</v>
      </c>
      <c r="AA77" s="318"/>
      <c r="AB77" s="187">
        <f t="shared" si="15"/>
        <v>0</v>
      </c>
      <c r="AC77" s="187">
        <f t="shared" si="16"/>
        <v>0</v>
      </c>
      <c r="AD77" s="187">
        <f t="shared" si="17"/>
        <v>0</v>
      </c>
      <c r="AE77" s="187">
        <f t="shared" si="18"/>
        <v>0</v>
      </c>
      <c r="AF77" s="187">
        <f t="shared" si="19"/>
        <v>0</v>
      </c>
      <c r="AG77" s="187">
        <f t="shared" si="20"/>
        <v>0</v>
      </c>
      <c r="AH77" s="187">
        <f t="shared" si="21"/>
        <v>0</v>
      </c>
      <c r="AI77" s="187">
        <f t="shared" si="22"/>
        <v>0</v>
      </c>
      <c r="AJ77" s="187">
        <f t="shared" si="23"/>
        <v>0</v>
      </c>
      <c r="AK77" s="187">
        <f t="shared" si="24"/>
        <v>0</v>
      </c>
      <c r="AL77" s="194"/>
      <c r="AM77" s="163"/>
      <c r="AN77" s="163"/>
      <c r="AO77" s="163"/>
      <c r="AP77" s="163"/>
      <c r="AQ77" s="163"/>
      <c r="AR77" s="163"/>
      <c r="AS77" s="163"/>
      <c r="AT77" s="163"/>
      <c r="AU77" s="163"/>
      <c r="AV77" s="163"/>
      <c r="AW77" s="163"/>
      <c r="AX77" s="163"/>
      <c r="AY77" s="163"/>
      <c r="AZ77" s="165"/>
      <c r="BA77" s="165"/>
      <c r="BB77" s="165"/>
      <c r="BC77" s="165"/>
      <c r="BD77" s="165"/>
      <c r="BE77" s="165"/>
    </row>
    <row r="78" spans="3:57" ht="15" customHeight="1">
      <c r="C78" s="317" t="s">
        <v>262</v>
      </c>
      <c r="E78" s="319"/>
      <c r="F78" s="320"/>
      <c r="H78" s="189"/>
      <c r="I78" s="193"/>
      <c r="J78" s="193"/>
      <c r="K78" s="193"/>
      <c r="L78" s="193"/>
      <c r="M78" s="217"/>
      <c r="N78" s="292"/>
      <c r="Y78" s="183" t="s">
        <v>21</v>
      </c>
      <c r="Z78" s="184" t="str">
        <f t="shared" si="14"/>
        <v>8000 - OTHER ENTITIES</v>
      </c>
      <c r="AA78" s="318"/>
      <c r="AB78" s="187">
        <f t="shared" si="15"/>
        <v>0</v>
      </c>
      <c r="AC78" s="187">
        <f t="shared" si="16"/>
        <v>0</v>
      </c>
      <c r="AD78" s="187">
        <f t="shared" si="17"/>
        <v>0</v>
      </c>
      <c r="AE78" s="187">
        <f t="shared" si="18"/>
        <v>0</v>
      </c>
      <c r="AF78" s="187">
        <f t="shared" si="19"/>
        <v>0</v>
      </c>
      <c r="AG78" s="187">
        <f t="shared" si="20"/>
        <v>0</v>
      </c>
      <c r="AH78" s="187">
        <f t="shared" si="21"/>
        <v>0</v>
      </c>
      <c r="AI78" s="187">
        <f t="shared" si="22"/>
        <v>0</v>
      </c>
      <c r="AJ78" s="187">
        <f t="shared" si="23"/>
        <v>0</v>
      </c>
      <c r="AK78" s="187">
        <f t="shared" si="24"/>
        <v>0</v>
      </c>
      <c r="AL78" s="194"/>
      <c r="AM78" s="163"/>
      <c r="AN78" s="163"/>
      <c r="AO78" s="163"/>
      <c r="AP78" s="163"/>
      <c r="AQ78" s="163"/>
      <c r="AR78" s="163"/>
      <c r="AS78" s="163"/>
      <c r="AT78" s="163"/>
      <c r="AU78" s="163"/>
      <c r="AV78" s="163"/>
      <c r="AW78" s="163"/>
      <c r="AX78" s="163"/>
      <c r="AY78" s="163"/>
      <c r="AZ78" s="165"/>
      <c r="BA78" s="165"/>
      <c r="BB78" s="165"/>
      <c r="BC78" s="165"/>
      <c r="BD78" s="165"/>
      <c r="BE78" s="165"/>
    </row>
    <row r="79" spans="3:57" ht="15" customHeight="1">
      <c r="C79" s="321" t="s">
        <v>268</v>
      </c>
      <c r="E79" s="2"/>
      <c r="F79" s="50">
        <v>0</v>
      </c>
      <c r="H79" s="51">
        <v>0</v>
      </c>
      <c r="I79" s="51">
        <v>0</v>
      </c>
      <c r="J79" s="51">
        <v>0</v>
      </c>
      <c r="K79" s="51">
        <v>0</v>
      </c>
      <c r="L79" s="51">
        <v>0</v>
      </c>
      <c r="M79" s="217"/>
      <c r="N79" s="292"/>
      <c r="Y79" s="183" t="s">
        <v>21</v>
      </c>
      <c r="Z79" s="184" t="str">
        <f t="shared" si="14"/>
        <v xml:space="preserve">8100 - Governmental Entities      </v>
      </c>
      <c r="AA79" s="318"/>
      <c r="AB79" s="187">
        <f t="shared" si="15"/>
        <v>0</v>
      </c>
      <c r="AC79" s="187">
        <f t="shared" si="16"/>
        <v>0</v>
      </c>
      <c r="AD79" s="187">
        <f t="shared" si="17"/>
        <v>0</v>
      </c>
      <c r="AE79" s="187">
        <f t="shared" si="18"/>
        <v>0</v>
      </c>
      <c r="AF79" s="187">
        <f t="shared" si="19"/>
        <v>0</v>
      </c>
      <c r="AG79" s="187">
        <f t="shared" si="20"/>
        <v>0</v>
      </c>
      <c r="AH79" s="187">
        <f t="shared" si="21"/>
        <v>0</v>
      </c>
      <c r="AI79" s="187">
        <f t="shared" si="22"/>
        <v>0</v>
      </c>
      <c r="AJ79" s="187">
        <f t="shared" si="23"/>
        <v>0</v>
      </c>
      <c r="AK79" s="187">
        <f t="shared" si="24"/>
        <v>0</v>
      </c>
      <c r="AL79" s="194"/>
      <c r="AM79" s="163"/>
      <c r="AN79" s="163"/>
      <c r="AO79" s="163"/>
      <c r="AP79" s="163"/>
      <c r="AQ79" s="163"/>
      <c r="AR79" s="163"/>
      <c r="AS79" s="163"/>
      <c r="AT79" s="163"/>
      <c r="AU79" s="163"/>
      <c r="AV79" s="163"/>
      <c r="AW79" s="163"/>
      <c r="AX79" s="163"/>
      <c r="AY79" s="163"/>
      <c r="AZ79" s="165"/>
      <c r="BA79" s="165"/>
      <c r="BB79" s="165"/>
      <c r="BC79" s="165"/>
      <c r="BD79" s="165"/>
      <c r="BE79" s="165"/>
    </row>
    <row r="80" spans="3:57" ht="15" customHeight="1">
      <c r="C80" s="321" t="s">
        <v>269</v>
      </c>
      <c r="E80" s="2"/>
      <c r="F80" s="50">
        <v>0</v>
      </c>
      <c r="H80" s="51">
        <v>0</v>
      </c>
      <c r="I80" s="51">
        <v>0</v>
      </c>
      <c r="J80" s="51">
        <v>0</v>
      </c>
      <c r="K80" s="51">
        <v>0</v>
      </c>
      <c r="L80" s="51">
        <v>0</v>
      </c>
      <c r="M80" s="217"/>
      <c r="N80" s="292"/>
      <c r="Y80" s="183" t="s">
        <v>21</v>
      </c>
      <c r="Z80" s="184" t="str">
        <f t="shared" si="14"/>
        <v xml:space="preserve">8200 - Private Foundations  </v>
      </c>
      <c r="AA80" s="318"/>
      <c r="AB80" s="187">
        <f t="shared" si="15"/>
        <v>0</v>
      </c>
      <c r="AC80" s="187">
        <f t="shared" si="16"/>
        <v>0</v>
      </c>
      <c r="AD80" s="187">
        <f t="shared" si="17"/>
        <v>0</v>
      </c>
      <c r="AE80" s="187">
        <f t="shared" si="18"/>
        <v>0</v>
      </c>
      <c r="AF80" s="187">
        <f t="shared" si="19"/>
        <v>0</v>
      </c>
      <c r="AG80" s="187">
        <f t="shared" si="20"/>
        <v>0</v>
      </c>
      <c r="AH80" s="187">
        <f t="shared" si="21"/>
        <v>0</v>
      </c>
      <c r="AI80" s="187">
        <f t="shared" si="22"/>
        <v>0</v>
      </c>
      <c r="AJ80" s="187">
        <f t="shared" si="23"/>
        <v>0</v>
      </c>
      <c r="AK80" s="187">
        <f t="shared" si="24"/>
        <v>0</v>
      </c>
      <c r="AL80" s="194"/>
      <c r="AM80" s="163"/>
      <c r="AN80" s="163"/>
      <c r="AO80" s="163"/>
      <c r="AP80" s="163"/>
      <c r="AQ80" s="163"/>
      <c r="AR80" s="163"/>
      <c r="AS80" s="163"/>
      <c r="AT80" s="163"/>
      <c r="AU80" s="163"/>
      <c r="AV80" s="163"/>
      <c r="AW80" s="163"/>
      <c r="AX80" s="163"/>
      <c r="AY80" s="163"/>
      <c r="AZ80" s="165"/>
      <c r="BA80" s="165"/>
      <c r="BB80" s="165"/>
      <c r="BC80" s="165"/>
      <c r="BD80" s="165"/>
      <c r="BE80" s="165"/>
    </row>
    <row r="81" spans="3:57" ht="15" customHeight="1">
      <c r="C81" s="321" t="s">
        <v>272</v>
      </c>
      <c r="E81" s="2"/>
      <c r="F81" s="50">
        <v>0</v>
      </c>
      <c r="H81" s="51">
        <v>0</v>
      </c>
      <c r="I81" s="51">
        <v>0</v>
      </c>
      <c r="J81" s="51">
        <v>0</v>
      </c>
      <c r="K81" s="51">
        <v>0</v>
      </c>
      <c r="L81" s="51">
        <v>0</v>
      </c>
      <c r="M81" s="217"/>
      <c r="N81" s="292"/>
      <c r="Y81" s="183" t="s">
        <v>21</v>
      </c>
      <c r="Z81" s="184" t="str">
        <f t="shared" si="14"/>
        <v xml:space="preserve">8500 - Educational Service Districts   </v>
      </c>
      <c r="AA81" s="318"/>
      <c r="AB81" s="187">
        <f t="shared" si="15"/>
        <v>0</v>
      </c>
      <c r="AC81" s="187">
        <f t="shared" si="16"/>
        <v>0</v>
      </c>
      <c r="AD81" s="187">
        <f t="shared" si="17"/>
        <v>0</v>
      </c>
      <c r="AE81" s="187">
        <f t="shared" si="18"/>
        <v>0</v>
      </c>
      <c r="AF81" s="187">
        <f t="shared" si="19"/>
        <v>0</v>
      </c>
      <c r="AG81" s="187">
        <f t="shared" si="20"/>
        <v>0</v>
      </c>
      <c r="AH81" s="187">
        <f t="shared" si="21"/>
        <v>0</v>
      </c>
      <c r="AI81" s="187">
        <f t="shared" si="22"/>
        <v>0</v>
      </c>
      <c r="AJ81" s="187">
        <f t="shared" si="23"/>
        <v>0</v>
      </c>
      <c r="AK81" s="187">
        <f t="shared" si="24"/>
        <v>0</v>
      </c>
      <c r="AL81" s="194"/>
      <c r="AM81" s="163"/>
      <c r="AN81" s="163"/>
      <c r="AO81" s="163"/>
      <c r="AP81" s="163"/>
      <c r="AQ81" s="163"/>
      <c r="AR81" s="163"/>
      <c r="AS81" s="163"/>
      <c r="AT81" s="163"/>
      <c r="AU81" s="163"/>
      <c r="AV81" s="163"/>
      <c r="AW81" s="163"/>
      <c r="AX81" s="163"/>
      <c r="AY81" s="163"/>
      <c r="AZ81" s="165"/>
      <c r="BA81" s="165"/>
      <c r="BB81" s="165"/>
      <c r="BC81" s="165"/>
      <c r="BD81" s="165"/>
      <c r="BE81" s="165"/>
    </row>
    <row r="82" spans="3:57" ht="15" customHeight="1">
      <c r="C82" s="211" t="str">
        <f>"Custom "&amp;MID(C78,8,100)</f>
        <v>Custom OTHER ENTITIES</v>
      </c>
      <c r="E82" s="2"/>
      <c r="F82" s="50">
        <v>0</v>
      </c>
      <c r="H82" s="51">
        <v>0</v>
      </c>
      <c r="I82" s="51">
        <v>0</v>
      </c>
      <c r="J82" s="51">
        <v>0</v>
      </c>
      <c r="K82" s="51">
        <v>0</v>
      </c>
      <c r="L82" s="51">
        <v>0</v>
      </c>
      <c r="M82" s="217"/>
      <c r="N82" s="292"/>
      <c r="Y82" s="183" t="s">
        <v>21</v>
      </c>
      <c r="Z82" s="184" t="str">
        <f t="shared" si="14"/>
        <v>Custom OTHER ENTITIES</v>
      </c>
      <c r="AA82" s="318"/>
      <c r="AB82" s="187">
        <f t="shared" si="15"/>
        <v>0</v>
      </c>
      <c r="AC82" s="187">
        <f t="shared" si="16"/>
        <v>0</v>
      </c>
      <c r="AD82" s="187">
        <f t="shared" si="17"/>
        <v>0</v>
      </c>
      <c r="AE82" s="187">
        <f t="shared" si="18"/>
        <v>0</v>
      </c>
      <c r="AF82" s="187">
        <f t="shared" si="19"/>
        <v>0</v>
      </c>
      <c r="AG82" s="187">
        <f t="shared" si="20"/>
        <v>0</v>
      </c>
      <c r="AH82" s="187">
        <f t="shared" si="21"/>
        <v>0</v>
      </c>
      <c r="AI82" s="187">
        <f t="shared" si="22"/>
        <v>0</v>
      </c>
      <c r="AJ82" s="187">
        <f t="shared" si="23"/>
        <v>0</v>
      </c>
      <c r="AK82" s="187">
        <f t="shared" si="24"/>
        <v>0</v>
      </c>
      <c r="AL82" s="194"/>
      <c r="AM82" s="163"/>
      <c r="AN82" s="163"/>
      <c r="AO82" s="163"/>
      <c r="AP82" s="163"/>
      <c r="AQ82" s="163"/>
      <c r="AR82" s="163"/>
      <c r="AS82" s="163"/>
      <c r="AT82" s="163"/>
      <c r="AU82" s="163"/>
      <c r="AV82" s="163"/>
      <c r="AW82" s="163"/>
      <c r="AX82" s="163"/>
      <c r="AY82" s="163"/>
      <c r="AZ82" s="165"/>
      <c r="BA82" s="165"/>
      <c r="BB82" s="165"/>
      <c r="BC82" s="165"/>
      <c r="BD82" s="165"/>
      <c r="BE82" s="165"/>
    </row>
    <row r="83" spans="3:57" ht="15" customHeight="1">
      <c r="C83" s="81" t="str">
        <f>"TOTAL "&amp;MID(C78,8,100)</f>
        <v>TOTAL OTHER ENTITIES</v>
      </c>
      <c r="E83" s="319"/>
      <c r="F83" s="320"/>
      <c r="H83" s="189"/>
      <c r="I83" s="193"/>
      <c r="J83" s="193"/>
      <c r="K83" s="193"/>
      <c r="L83" s="193"/>
      <c r="M83" s="217"/>
      <c r="N83" s="292"/>
      <c r="Y83" s="183" t="s">
        <v>21</v>
      </c>
      <c r="Z83" s="184" t="str">
        <f t="shared" si="14"/>
        <v>TOTAL OTHER ENTITIES</v>
      </c>
      <c r="AA83" s="318"/>
      <c r="AB83" s="187">
        <f t="shared" si="15"/>
        <v>0</v>
      </c>
      <c r="AC83" s="187">
        <f t="shared" si="16"/>
        <v>0</v>
      </c>
      <c r="AD83" s="187">
        <f t="shared" si="17"/>
        <v>0</v>
      </c>
      <c r="AE83" s="187">
        <f t="shared" si="18"/>
        <v>0</v>
      </c>
      <c r="AF83" s="187">
        <f t="shared" si="19"/>
        <v>0</v>
      </c>
      <c r="AG83" s="187">
        <f t="shared" si="20"/>
        <v>0</v>
      </c>
      <c r="AH83" s="187">
        <f t="shared" si="21"/>
        <v>0</v>
      </c>
      <c r="AI83" s="187">
        <f t="shared" si="22"/>
        <v>0</v>
      </c>
      <c r="AJ83" s="187">
        <f t="shared" si="23"/>
        <v>0</v>
      </c>
      <c r="AK83" s="187">
        <f t="shared" si="24"/>
        <v>0</v>
      </c>
      <c r="AL83" s="194"/>
      <c r="AM83" s="163"/>
      <c r="AN83" s="163"/>
      <c r="AO83" s="163"/>
      <c r="AP83" s="163"/>
      <c r="AQ83" s="163"/>
      <c r="AR83" s="163"/>
      <c r="AS83" s="163"/>
      <c r="AT83" s="163"/>
      <c r="AU83" s="163"/>
      <c r="AV83" s="163"/>
      <c r="AW83" s="163"/>
      <c r="AX83" s="163"/>
      <c r="AY83" s="163"/>
      <c r="AZ83" s="165"/>
      <c r="BA83" s="165"/>
      <c r="BB83" s="165"/>
      <c r="BC83" s="165"/>
      <c r="BD83" s="165"/>
      <c r="BE83" s="165"/>
    </row>
    <row r="84" spans="3:57" ht="6" customHeight="1">
      <c r="C84" s="280"/>
      <c r="E84" s="319"/>
      <c r="F84" s="320"/>
      <c r="H84" s="189"/>
      <c r="I84" s="193"/>
      <c r="J84" s="193"/>
      <c r="K84" s="193"/>
      <c r="L84" s="193"/>
      <c r="M84" s="217"/>
      <c r="N84" s="292"/>
      <c r="Y84" s="183" t="s">
        <v>21</v>
      </c>
      <c r="Z84" s="184">
        <f t="shared" si="14"/>
        <v>0</v>
      </c>
      <c r="AA84" s="318"/>
      <c r="AB84" s="187">
        <f t="shared" si="15"/>
        <v>0</v>
      </c>
      <c r="AC84" s="187">
        <f t="shared" si="16"/>
        <v>0</v>
      </c>
      <c r="AD84" s="187">
        <f t="shared" si="17"/>
        <v>0</v>
      </c>
      <c r="AE84" s="187">
        <f t="shared" si="18"/>
        <v>0</v>
      </c>
      <c r="AF84" s="187">
        <f t="shared" si="19"/>
        <v>0</v>
      </c>
      <c r="AG84" s="187">
        <f t="shared" si="20"/>
        <v>0</v>
      </c>
      <c r="AH84" s="187">
        <f t="shared" si="21"/>
        <v>0</v>
      </c>
      <c r="AI84" s="187">
        <f t="shared" si="22"/>
        <v>0</v>
      </c>
      <c r="AJ84" s="187">
        <f t="shared" si="23"/>
        <v>0</v>
      </c>
      <c r="AK84" s="187">
        <f t="shared" si="24"/>
        <v>0</v>
      </c>
      <c r="AL84" s="194"/>
      <c r="AM84" s="163"/>
      <c r="AN84" s="163"/>
      <c r="AO84" s="163"/>
      <c r="AP84" s="163"/>
      <c r="AQ84" s="163"/>
      <c r="AR84" s="163"/>
      <c r="AS84" s="163"/>
      <c r="AT84" s="163"/>
      <c r="AU84" s="163"/>
      <c r="AV84" s="163"/>
      <c r="AW84" s="163"/>
      <c r="AX84" s="163"/>
      <c r="AY84" s="163"/>
      <c r="AZ84" s="165"/>
      <c r="BA84" s="165"/>
      <c r="BB84" s="165"/>
      <c r="BC84" s="165"/>
      <c r="BD84" s="165"/>
      <c r="BE84" s="165"/>
    </row>
    <row r="85" spans="3:57" ht="15" customHeight="1">
      <c r="C85" s="317" t="s">
        <v>263</v>
      </c>
      <c r="E85" s="319"/>
      <c r="F85" s="320"/>
      <c r="H85" s="189"/>
      <c r="I85" s="193"/>
      <c r="J85" s="193"/>
      <c r="K85" s="193"/>
      <c r="L85" s="193"/>
      <c r="M85" s="217"/>
      <c r="N85" s="292"/>
      <c r="Y85" s="183" t="s">
        <v>21</v>
      </c>
      <c r="Z85" s="184" t="str">
        <f t="shared" si="14"/>
        <v>9000 - OTHER FINANCING SOURCES</v>
      </c>
      <c r="AA85" s="318"/>
      <c r="AB85" s="187">
        <f t="shared" si="15"/>
        <v>0</v>
      </c>
      <c r="AC85" s="187">
        <f t="shared" si="16"/>
        <v>0</v>
      </c>
      <c r="AD85" s="187">
        <f t="shared" si="17"/>
        <v>0</v>
      </c>
      <c r="AE85" s="187">
        <f t="shared" si="18"/>
        <v>0</v>
      </c>
      <c r="AF85" s="187">
        <f t="shared" si="19"/>
        <v>0</v>
      </c>
      <c r="AG85" s="187">
        <f t="shared" si="20"/>
        <v>0</v>
      </c>
      <c r="AH85" s="187">
        <f t="shared" si="21"/>
        <v>0</v>
      </c>
      <c r="AI85" s="187">
        <f t="shared" si="22"/>
        <v>0</v>
      </c>
      <c r="AJ85" s="187">
        <f t="shared" si="23"/>
        <v>0</v>
      </c>
      <c r="AK85" s="187">
        <f t="shared" si="24"/>
        <v>0</v>
      </c>
      <c r="AL85" s="194"/>
      <c r="AM85" s="163"/>
      <c r="AN85" s="163"/>
      <c r="AO85" s="163"/>
      <c r="AP85" s="163"/>
      <c r="AQ85" s="163"/>
      <c r="AR85" s="163"/>
      <c r="AS85" s="163"/>
      <c r="AT85" s="163"/>
      <c r="AU85" s="163"/>
      <c r="AV85" s="163"/>
      <c r="AW85" s="163"/>
      <c r="AX85" s="163"/>
      <c r="AY85" s="163"/>
      <c r="AZ85" s="165"/>
      <c r="BA85" s="165"/>
      <c r="BB85" s="165"/>
      <c r="BC85" s="165"/>
      <c r="BD85" s="165"/>
      <c r="BE85" s="165"/>
    </row>
    <row r="86" spans="3:57" ht="15" customHeight="1">
      <c r="C86" s="321" t="s">
        <v>270</v>
      </c>
      <c r="E86" s="2"/>
      <c r="F86" s="50">
        <v>0</v>
      </c>
      <c r="H86" s="51">
        <v>0</v>
      </c>
      <c r="I86" s="51">
        <v>0</v>
      </c>
      <c r="J86" s="51">
        <v>0</v>
      </c>
      <c r="K86" s="51">
        <v>0</v>
      </c>
      <c r="L86" s="51">
        <v>0</v>
      </c>
      <c r="M86" s="217"/>
      <c r="N86" s="292"/>
      <c r="Y86" s="183" t="s">
        <v>21</v>
      </c>
      <c r="Z86" s="184" t="str">
        <f t="shared" si="14"/>
        <v xml:space="preserve">9500 - Long-Term Financing      </v>
      </c>
      <c r="AA86" s="318"/>
      <c r="AB86" s="187">
        <f t="shared" si="15"/>
        <v>0</v>
      </c>
      <c r="AC86" s="187">
        <f t="shared" si="16"/>
        <v>0</v>
      </c>
      <c r="AD86" s="187">
        <f t="shared" si="17"/>
        <v>0</v>
      </c>
      <c r="AE86" s="187">
        <f t="shared" si="18"/>
        <v>0</v>
      </c>
      <c r="AF86" s="187">
        <f t="shared" si="19"/>
        <v>0</v>
      </c>
      <c r="AG86" s="187">
        <f t="shared" si="20"/>
        <v>0</v>
      </c>
      <c r="AH86" s="187">
        <f t="shared" si="21"/>
        <v>0</v>
      </c>
      <c r="AI86" s="187">
        <f t="shared" si="22"/>
        <v>0</v>
      </c>
      <c r="AJ86" s="187">
        <f t="shared" si="23"/>
        <v>0</v>
      </c>
      <c r="AK86" s="187">
        <f t="shared" si="24"/>
        <v>0</v>
      </c>
      <c r="AL86" s="194"/>
      <c r="AM86" s="163"/>
      <c r="AN86" s="163"/>
      <c r="AO86" s="163"/>
      <c r="AP86" s="163"/>
      <c r="AQ86" s="163"/>
      <c r="AR86" s="163"/>
      <c r="AS86" s="163"/>
      <c r="AT86" s="163"/>
      <c r="AU86" s="163"/>
      <c r="AV86" s="163"/>
      <c r="AW86" s="163"/>
      <c r="AX86" s="163"/>
      <c r="AY86" s="163"/>
      <c r="AZ86" s="165"/>
      <c r="BA86" s="165"/>
      <c r="BB86" s="165"/>
      <c r="BC86" s="165"/>
      <c r="BD86" s="165"/>
      <c r="BE86" s="165"/>
    </row>
    <row r="87" spans="3:57" ht="15" customHeight="1">
      <c r="C87" s="321" t="s">
        <v>271</v>
      </c>
      <c r="E87" s="2"/>
      <c r="F87" s="50">
        <v>0</v>
      </c>
      <c r="H87" s="51">
        <v>0</v>
      </c>
      <c r="I87" s="51">
        <v>0</v>
      </c>
      <c r="J87" s="51">
        <v>0</v>
      </c>
      <c r="K87" s="51">
        <v>0</v>
      </c>
      <c r="L87" s="51">
        <v>0</v>
      </c>
      <c r="M87" s="217"/>
      <c r="N87" s="292"/>
      <c r="Y87" s="183" t="s">
        <v>21</v>
      </c>
      <c r="Z87" s="184" t="str">
        <f t="shared" si="14"/>
        <v>9900 - Transfers</v>
      </c>
      <c r="AA87" s="318"/>
      <c r="AB87" s="187">
        <f t="shared" si="15"/>
        <v>0</v>
      </c>
      <c r="AC87" s="187">
        <f t="shared" si="16"/>
        <v>0</v>
      </c>
      <c r="AD87" s="187">
        <f t="shared" si="17"/>
        <v>0</v>
      </c>
      <c r="AE87" s="187">
        <f t="shared" si="18"/>
        <v>0</v>
      </c>
      <c r="AF87" s="187">
        <f t="shared" si="19"/>
        <v>0</v>
      </c>
      <c r="AG87" s="187">
        <f t="shared" si="20"/>
        <v>0</v>
      </c>
      <c r="AH87" s="187">
        <f t="shared" si="21"/>
        <v>0</v>
      </c>
      <c r="AI87" s="187">
        <f t="shared" si="22"/>
        <v>0</v>
      </c>
      <c r="AJ87" s="187">
        <f t="shared" si="23"/>
        <v>0</v>
      </c>
      <c r="AK87" s="187">
        <f t="shared" si="24"/>
        <v>0</v>
      </c>
      <c r="AL87" s="194"/>
      <c r="AM87" s="163"/>
      <c r="AN87" s="163"/>
      <c r="AO87" s="163"/>
      <c r="AP87" s="163"/>
      <c r="AQ87" s="163"/>
      <c r="AR87" s="163"/>
      <c r="AS87" s="163"/>
      <c r="AT87" s="163"/>
      <c r="AU87" s="163"/>
      <c r="AV87" s="163"/>
      <c r="AW87" s="163"/>
      <c r="AX87" s="163"/>
      <c r="AY87" s="163"/>
      <c r="AZ87" s="165"/>
      <c r="BA87" s="165"/>
      <c r="BB87" s="165"/>
      <c r="BC87" s="165"/>
      <c r="BD87" s="165"/>
      <c r="BE87" s="165"/>
    </row>
    <row r="88" spans="3:57" ht="15" customHeight="1">
      <c r="C88" s="211" t="str">
        <f>"Custom "&amp;MID(C85,8,100)</f>
        <v>Custom OTHER FINANCING SOURCES</v>
      </c>
      <c r="E88" s="2"/>
      <c r="F88" s="50">
        <v>0</v>
      </c>
      <c r="H88" s="51">
        <v>0</v>
      </c>
      <c r="I88" s="51">
        <v>0</v>
      </c>
      <c r="J88" s="51">
        <v>0</v>
      </c>
      <c r="K88" s="51">
        <v>0</v>
      </c>
      <c r="L88" s="51">
        <v>0</v>
      </c>
      <c r="M88" s="217"/>
      <c r="N88" s="292"/>
      <c r="Y88" s="183" t="s">
        <v>21</v>
      </c>
      <c r="Z88" s="184" t="str">
        <f t="shared" si="14"/>
        <v>Custom OTHER FINANCING SOURCES</v>
      </c>
      <c r="AA88" s="318"/>
      <c r="AB88" s="187">
        <f t="shared" si="15"/>
        <v>0</v>
      </c>
      <c r="AC88" s="187">
        <f t="shared" si="16"/>
        <v>0</v>
      </c>
      <c r="AD88" s="187">
        <f t="shared" si="17"/>
        <v>0</v>
      </c>
      <c r="AE88" s="187">
        <f t="shared" si="18"/>
        <v>0</v>
      </c>
      <c r="AF88" s="187">
        <f t="shared" si="19"/>
        <v>0</v>
      </c>
      <c r="AG88" s="187">
        <f t="shared" si="20"/>
        <v>0</v>
      </c>
      <c r="AH88" s="187">
        <f t="shared" si="21"/>
        <v>0</v>
      </c>
      <c r="AI88" s="187">
        <f t="shared" si="22"/>
        <v>0</v>
      </c>
      <c r="AJ88" s="187">
        <f t="shared" si="23"/>
        <v>0</v>
      </c>
      <c r="AK88" s="187">
        <f t="shared" si="24"/>
        <v>0</v>
      </c>
      <c r="AL88" s="194"/>
      <c r="AM88" s="163"/>
      <c r="AN88" s="163"/>
      <c r="AO88" s="163"/>
      <c r="AP88" s="163"/>
      <c r="AQ88" s="163"/>
      <c r="AR88" s="163"/>
      <c r="AS88" s="163"/>
      <c r="AT88" s="163"/>
      <c r="AU88" s="163"/>
      <c r="AV88" s="163"/>
      <c r="AW88" s="163"/>
      <c r="AX88" s="163"/>
      <c r="AY88" s="163"/>
      <c r="AZ88" s="165"/>
      <c r="BA88" s="165"/>
      <c r="BB88" s="165"/>
      <c r="BC88" s="165"/>
      <c r="BD88" s="165"/>
      <c r="BE88" s="165"/>
    </row>
    <row r="89" spans="3:57" ht="15" customHeight="1">
      <c r="C89" s="81" t="str">
        <f>"TOTAL "&amp;MID(C85,8,100)</f>
        <v>TOTAL OTHER FINANCING SOURCES</v>
      </c>
      <c r="E89" s="319"/>
      <c r="F89" s="320"/>
      <c r="H89" s="193"/>
      <c r="I89" s="193"/>
      <c r="J89" s="193"/>
      <c r="K89" s="193"/>
      <c r="L89" s="193"/>
      <c r="M89" s="217"/>
      <c r="N89" s="292"/>
      <c r="Y89" s="183" t="s">
        <v>21</v>
      </c>
      <c r="Z89" s="184" t="str">
        <f t="shared" si="14"/>
        <v>TOTAL OTHER FINANCING SOURCES</v>
      </c>
      <c r="AA89" s="318"/>
      <c r="AB89" s="187">
        <f t="shared" si="15"/>
        <v>0</v>
      </c>
      <c r="AC89" s="187">
        <f t="shared" si="16"/>
        <v>0</v>
      </c>
      <c r="AD89" s="187">
        <f t="shared" si="17"/>
        <v>0</v>
      </c>
      <c r="AE89" s="187">
        <f t="shared" si="18"/>
        <v>0</v>
      </c>
      <c r="AF89" s="187">
        <f t="shared" si="19"/>
        <v>0</v>
      </c>
      <c r="AG89" s="187">
        <f t="shared" si="20"/>
        <v>0</v>
      </c>
      <c r="AH89" s="187">
        <f t="shared" si="21"/>
        <v>0</v>
      </c>
      <c r="AI89" s="187">
        <f t="shared" si="22"/>
        <v>0</v>
      </c>
      <c r="AJ89" s="187">
        <f t="shared" si="23"/>
        <v>0</v>
      </c>
      <c r="AK89" s="187">
        <f t="shared" si="24"/>
        <v>0</v>
      </c>
      <c r="AL89" s="194"/>
      <c r="AM89" s="163"/>
      <c r="AN89" s="163"/>
      <c r="AO89" s="163"/>
      <c r="AP89" s="163"/>
      <c r="AQ89" s="163"/>
      <c r="AR89" s="163"/>
      <c r="AS89" s="163"/>
      <c r="AT89" s="163"/>
      <c r="AU89" s="163"/>
      <c r="AV89" s="163"/>
      <c r="AW89" s="163"/>
      <c r="AX89" s="163"/>
      <c r="AY89" s="163"/>
      <c r="AZ89" s="165"/>
      <c r="BA89" s="165"/>
      <c r="BB89" s="165"/>
      <c r="BC89" s="165"/>
      <c r="BD89" s="165"/>
      <c r="BE89" s="165"/>
    </row>
    <row r="90" spans="3:57" ht="6" customHeight="1">
      <c r="C90" s="196"/>
      <c r="D90" s="193"/>
      <c r="E90" s="193"/>
      <c r="F90" s="193"/>
      <c r="H90" s="193"/>
      <c r="I90" s="193"/>
      <c r="J90" s="193"/>
      <c r="K90" s="193"/>
      <c r="L90" s="193"/>
      <c r="M90" s="217"/>
      <c r="N90" s="352"/>
      <c r="Y90" s="183" t="s">
        <v>21</v>
      </c>
      <c r="Z90" s="184">
        <f t="shared" si="14"/>
        <v>0</v>
      </c>
      <c r="AA90" s="318"/>
      <c r="AB90" s="187">
        <f t="shared" si="15"/>
        <v>0</v>
      </c>
      <c r="AC90" s="187">
        <f t="shared" si="16"/>
        <v>0</v>
      </c>
      <c r="AD90" s="187">
        <f t="shared" si="17"/>
        <v>0</v>
      </c>
      <c r="AE90" s="187">
        <f t="shared" si="18"/>
        <v>0</v>
      </c>
      <c r="AF90" s="187">
        <f t="shared" si="19"/>
        <v>0</v>
      </c>
      <c r="AG90" s="187">
        <f t="shared" si="20"/>
        <v>0</v>
      </c>
      <c r="AH90" s="187">
        <f t="shared" si="21"/>
        <v>0</v>
      </c>
      <c r="AI90" s="187">
        <f t="shared" si="22"/>
        <v>0</v>
      </c>
      <c r="AJ90" s="187">
        <f t="shared" si="23"/>
        <v>0</v>
      </c>
      <c r="AK90" s="187">
        <f t="shared" si="24"/>
        <v>0</v>
      </c>
      <c r="AL90" s="194"/>
      <c r="AM90" s="163"/>
      <c r="AN90" s="163"/>
      <c r="AO90" s="163"/>
      <c r="AP90" s="163"/>
      <c r="AQ90" s="163"/>
      <c r="AR90" s="163"/>
      <c r="AS90" s="163"/>
      <c r="AT90" s="163"/>
      <c r="AU90" s="163"/>
      <c r="AV90" s="163"/>
      <c r="AW90" s="163"/>
      <c r="AX90" s="163"/>
      <c r="AY90" s="163"/>
      <c r="AZ90" s="165"/>
      <c r="BA90" s="165"/>
      <c r="BB90" s="165"/>
      <c r="BC90" s="165"/>
      <c r="BD90" s="165"/>
      <c r="BE90" s="165"/>
    </row>
    <row r="91" spans="3:57" ht="15" customHeight="1">
      <c r="C91" s="330" t="str">
        <f>"TOTAL "&amp;C19</f>
        <v>TOTAL REVENUE</v>
      </c>
      <c r="D91" s="193"/>
      <c r="E91" s="193"/>
      <c r="F91" s="193"/>
      <c r="H91" s="193"/>
      <c r="I91" s="193"/>
      <c r="J91" s="193"/>
      <c r="K91" s="193"/>
      <c r="L91" s="193"/>
      <c r="M91" s="217"/>
      <c r="N91" s="292"/>
      <c r="Y91" s="183" t="s">
        <v>21</v>
      </c>
      <c r="Z91" s="184" t="str">
        <f t="shared" si="14"/>
        <v>TOTAL REVENUE</v>
      </c>
      <c r="AA91" s="318"/>
      <c r="AB91" s="187">
        <f t="shared" si="15"/>
        <v>0</v>
      </c>
      <c r="AC91" s="187">
        <f t="shared" si="16"/>
        <v>0</v>
      </c>
      <c r="AD91" s="187">
        <f t="shared" si="17"/>
        <v>0</v>
      </c>
      <c r="AE91" s="187">
        <f t="shared" si="18"/>
        <v>0</v>
      </c>
      <c r="AF91" s="187">
        <f t="shared" si="19"/>
        <v>0</v>
      </c>
      <c r="AG91" s="187">
        <f t="shared" si="20"/>
        <v>0</v>
      </c>
      <c r="AH91" s="187">
        <f t="shared" si="21"/>
        <v>0</v>
      </c>
      <c r="AI91" s="187">
        <f t="shared" si="22"/>
        <v>0</v>
      </c>
      <c r="AJ91" s="187">
        <f t="shared" si="23"/>
        <v>0</v>
      </c>
      <c r="AK91" s="187">
        <f t="shared" si="24"/>
        <v>0</v>
      </c>
      <c r="AL91" s="194"/>
      <c r="AM91" s="163"/>
      <c r="AN91" s="163"/>
      <c r="AO91" s="163"/>
      <c r="AP91" s="163"/>
      <c r="AQ91" s="163"/>
      <c r="AR91" s="163"/>
      <c r="AS91" s="163"/>
      <c r="AT91" s="163"/>
      <c r="AU91" s="163"/>
      <c r="AV91" s="163"/>
      <c r="AW91" s="163"/>
      <c r="AX91" s="163"/>
      <c r="AY91" s="163"/>
      <c r="AZ91" s="165"/>
      <c r="BA91" s="165"/>
      <c r="BB91" s="165"/>
      <c r="BC91" s="165"/>
      <c r="BD91" s="165"/>
      <c r="BE91" s="165"/>
    </row>
    <row r="92" spans="3:57" ht="15" customHeight="1">
      <c r="C92" s="90"/>
      <c r="D92" s="193"/>
      <c r="E92" s="193"/>
      <c r="F92" s="193"/>
      <c r="H92" s="193"/>
      <c r="I92" s="193"/>
      <c r="J92" s="193"/>
      <c r="K92" s="193"/>
      <c r="L92" s="193"/>
      <c r="M92" s="217"/>
      <c r="N92" s="352"/>
      <c r="Y92" s="183" t="s">
        <v>21</v>
      </c>
      <c r="Z92" s="184">
        <f t="shared" si="14"/>
        <v>0</v>
      </c>
      <c r="AA92" s="318"/>
      <c r="AB92" s="187">
        <f t="shared" si="15"/>
        <v>0</v>
      </c>
      <c r="AC92" s="187">
        <f t="shared" si="16"/>
        <v>0</v>
      </c>
      <c r="AD92" s="187">
        <f t="shared" si="17"/>
        <v>0</v>
      </c>
      <c r="AE92" s="187">
        <f t="shared" si="18"/>
        <v>0</v>
      </c>
      <c r="AF92" s="187">
        <f t="shared" si="19"/>
        <v>0</v>
      </c>
      <c r="AG92" s="187">
        <f t="shared" si="20"/>
        <v>0</v>
      </c>
      <c r="AH92" s="187">
        <f t="shared" si="21"/>
        <v>0</v>
      </c>
      <c r="AI92" s="187">
        <f t="shared" si="22"/>
        <v>0</v>
      </c>
      <c r="AJ92" s="187">
        <f t="shared" si="23"/>
        <v>0</v>
      </c>
      <c r="AK92" s="187">
        <f t="shared" si="24"/>
        <v>0</v>
      </c>
      <c r="AL92" s="194"/>
      <c r="AM92" s="163"/>
      <c r="AN92" s="163"/>
      <c r="AO92" s="163"/>
      <c r="AP92" s="163"/>
      <c r="AQ92" s="163"/>
      <c r="AR92" s="163"/>
      <c r="AS92" s="163"/>
      <c r="AT92" s="163"/>
      <c r="AU92" s="163"/>
      <c r="AV92" s="163"/>
      <c r="AW92" s="163"/>
      <c r="AX92" s="163"/>
      <c r="AY92" s="163"/>
      <c r="AZ92" s="165"/>
      <c r="BA92" s="165"/>
      <c r="BB92" s="165"/>
      <c r="BC92" s="165"/>
      <c r="BD92" s="165"/>
      <c r="BE92" s="165"/>
    </row>
    <row r="93" spans="3:57" ht="15" customHeight="1">
      <c r="C93" s="345" t="s">
        <v>13</v>
      </c>
      <c r="D93" s="193"/>
      <c r="E93" s="193"/>
      <c r="F93" s="193"/>
      <c r="H93" s="193"/>
      <c r="I93" s="193"/>
      <c r="J93" s="193"/>
      <c r="K93" s="193"/>
      <c r="L93" s="193"/>
      <c r="M93" s="217"/>
      <c r="N93" s="292"/>
      <c r="Y93" s="183" t="s">
        <v>21</v>
      </c>
      <c r="Z93" s="184" t="str">
        <f t="shared" si="14"/>
        <v>EXPENSES</v>
      </c>
      <c r="AA93" s="318"/>
      <c r="AB93" s="187">
        <f t="shared" si="15"/>
        <v>0</v>
      </c>
      <c r="AC93" s="187">
        <f t="shared" si="16"/>
        <v>0</v>
      </c>
      <c r="AD93" s="187">
        <f t="shared" si="17"/>
        <v>0</v>
      </c>
      <c r="AE93" s="187">
        <f t="shared" si="18"/>
        <v>0</v>
      </c>
      <c r="AF93" s="187">
        <f t="shared" si="19"/>
        <v>0</v>
      </c>
      <c r="AG93" s="187">
        <f t="shared" si="20"/>
        <v>0</v>
      </c>
      <c r="AH93" s="187">
        <f t="shared" si="21"/>
        <v>0</v>
      </c>
      <c r="AI93" s="187">
        <f t="shared" si="22"/>
        <v>0</v>
      </c>
      <c r="AJ93" s="187">
        <f t="shared" si="23"/>
        <v>0</v>
      </c>
      <c r="AK93" s="187">
        <f t="shared" si="24"/>
        <v>0</v>
      </c>
      <c r="AL93" s="194"/>
      <c r="AM93" s="163"/>
      <c r="AN93" s="163"/>
      <c r="AO93" s="163"/>
      <c r="AP93" s="163"/>
      <c r="AQ93" s="163"/>
      <c r="AR93" s="163"/>
      <c r="AS93" s="163"/>
      <c r="AT93" s="163"/>
      <c r="AU93" s="163"/>
      <c r="AV93" s="163"/>
      <c r="AW93" s="163"/>
      <c r="AX93" s="163"/>
      <c r="AY93" s="163"/>
      <c r="AZ93" s="165"/>
      <c r="BA93" s="165"/>
      <c r="BB93" s="165"/>
      <c r="BC93" s="165"/>
      <c r="BD93" s="165"/>
      <c r="BE93" s="165"/>
    </row>
    <row r="94" spans="3:57" ht="15" customHeight="1">
      <c r="C94" s="81" t="s">
        <v>32</v>
      </c>
      <c r="D94" s="193"/>
      <c r="E94" s="193"/>
      <c r="F94" s="193"/>
      <c r="H94" s="193"/>
      <c r="I94" s="193"/>
      <c r="J94" s="193"/>
      <c r="K94" s="193"/>
      <c r="L94" s="193"/>
      <c r="M94" s="217"/>
      <c r="N94" s="292"/>
      <c r="Y94" s="183" t="s">
        <v>21</v>
      </c>
      <c r="Z94" s="184" t="str">
        <f t="shared" si="14"/>
        <v>ADMINISTRATIVE STAFF PERSONNEL COSTS</v>
      </c>
      <c r="AA94" s="318"/>
      <c r="AB94" s="187">
        <f t="shared" si="15"/>
        <v>0</v>
      </c>
      <c r="AC94" s="187">
        <f t="shared" si="16"/>
        <v>0</v>
      </c>
      <c r="AD94" s="187">
        <f t="shared" si="17"/>
        <v>0</v>
      </c>
      <c r="AE94" s="187">
        <f t="shared" si="18"/>
        <v>0</v>
      </c>
      <c r="AF94" s="187">
        <f t="shared" si="19"/>
        <v>0</v>
      </c>
      <c r="AG94" s="187">
        <f t="shared" si="20"/>
        <v>0</v>
      </c>
      <c r="AH94" s="187">
        <f t="shared" si="21"/>
        <v>0</v>
      </c>
      <c r="AI94" s="187">
        <f t="shared" si="22"/>
        <v>0</v>
      </c>
      <c r="AJ94" s="187">
        <f t="shared" si="23"/>
        <v>0</v>
      </c>
      <c r="AK94" s="187">
        <f t="shared" si="24"/>
        <v>0</v>
      </c>
      <c r="AL94" s="194"/>
      <c r="AM94" s="163"/>
      <c r="AN94" s="163" t="s">
        <v>189</v>
      </c>
      <c r="AO94" s="163"/>
      <c r="AP94" s="163"/>
      <c r="AQ94" s="163"/>
      <c r="AR94" s="163"/>
      <c r="AS94" s="163"/>
      <c r="AT94" s="163"/>
      <c r="AU94" s="163"/>
      <c r="AV94" s="163"/>
      <c r="AW94" s="163"/>
      <c r="AX94" s="163"/>
      <c r="AY94" s="163"/>
      <c r="AZ94" s="165"/>
      <c r="BA94" s="165"/>
      <c r="BB94" s="165"/>
      <c r="BC94" s="165"/>
      <c r="BD94" s="165"/>
      <c r="BE94" s="165"/>
    </row>
    <row r="95" spans="3:57" ht="15" customHeight="1">
      <c r="C95" s="94" t="s">
        <v>33</v>
      </c>
      <c r="D95" s="193"/>
      <c r="E95" s="197"/>
      <c r="F95" s="198"/>
      <c r="H95" s="199"/>
      <c r="I95" s="199"/>
      <c r="J95" s="199"/>
      <c r="K95" s="199"/>
      <c r="L95" s="199"/>
      <c r="M95" s="217"/>
      <c r="N95" s="292"/>
      <c r="Y95" s="183" t="s">
        <v>21</v>
      </c>
      <c r="Z95" s="184" t="str">
        <f t="shared" si="14"/>
        <v>Executive Management</v>
      </c>
      <c r="AA95" s="318"/>
      <c r="AB95" s="187">
        <f t="shared" si="15"/>
        <v>0</v>
      </c>
      <c r="AC95" s="187">
        <f t="shared" si="16"/>
        <v>0</v>
      </c>
      <c r="AD95" s="187">
        <f t="shared" si="17"/>
        <v>0</v>
      </c>
      <c r="AE95" s="187">
        <f t="shared" si="18"/>
        <v>0</v>
      </c>
      <c r="AF95" s="187">
        <f t="shared" si="19"/>
        <v>0</v>
      </c>
      <c r="AG95" s="187">
        <f t="shared" si="20"/>
        <v>0</v>
      </c>
      <c r="AH95" s="187">
        <f t="shared" si="21"/>
        <v>0</v>
      </c>
      <c r="AI95" s="187">
        <f t="shared" si="22"/>
        <v>0</v>
      </c>
      <c r="AJ95" s="187">
        <f t="shared" si="23"/>
        <v>0</v>
      </c>
      <c r="AK95" s="187">
        <f t="shared" si="24"/>
        <v>0</v>
      </c>
      <c r="AL95" s="194"/>
      <c r="AM95" s="163"/>
      <c r="AN95" s="163" t="str">
        <f t="shared" ref="AN95:AN101" si="36">C95</f>
        <v>Executive Management</v>
      </c>
      <c r="AO95" s="163"/>
      <c r="AP95" s="163"/>
      <c r="AQ95" s="163"/>
      <c r="AR95" s="163"/>
      <c r="AS95" s="163"/>
      <c r="AT95" s="163"/>
      <c r="AU95" s="163"/>
      <c r="AV95" s="163"/>
      <c r="AW95" s="163"/>
      <c r="AX95" s="163"/>
      <c r="AY95" s="163"/>
      <c r="AZ95" s="165"/>
      <c r="BA95" s="165"/>
      <c r="BB95" s="165"/>
      <c r="BC95" s="165"/>
      <c r="BD95" s="165"/>
      <c r="BE95" s="165"/>
    </row>
    <row r="96" spans="3:57" ht="15" customHeight="1">
      <c r="C96" s="94" t="s">
        <v>34</v>
      </c>
      <c r="D96" s="193"/>
      <c r="E96" s="197"/>
      <c r="F96" s="198"/>
      <c r="H96" s="199"/>
      <c r="I96" s="199"/>
      <c r="J96" s="199"/>
      <c r="K96" s="199"/>
      <c r="L96" s="199"/>
      <c r="M96" s="217"/>
      <c r="N96" s="292"/>
      <c r="Y96" s="183" t="s">
        <v>21</v>
      </c>
      <c r="Z96" s="184" t="str">
        <f t="shared" si="14"/>
        <v>Instructional Management</v>
      </c>
      <c r="AA96" s="318"/>
      <c r="AB96" s="187">
        <f t="shared" si="15"/>
        <v>0</v>
      </c>
      <c r="AC96" s="187">
        <f t="shared" si="16"/>
        <v>0</v>
      </c>
      <c r="AD96" s="187">
        <f t="shared" si="17"/>
        <v>0</v>
      </c>
      <c r="AE96" s="187">
        <f t="shared" si="18"/>
        <v>0</v>
      </c>
      <c r="AF96" s="187">
        <f t="shared" si="19"/>
        <v>0</v>
      </c>
      <c r="AG96" s="187">
        <f t="shared" si="20"/>
        <v>0</v>
      </c>
      <c r="AH96" s="187">
        <f t="shared" si="21"/>
        <v>0</v>
      </c>
      <c r="AI96" s="187">
        <f t="shared" si="22"/>
        <v>0</v>
      </c>
      <c r="AJ96" s="187">
        <f t="shared" si="23"/>
        <v>0</v>
      </c>
      <c r="AK96" s="187">
        <f t="shared" si="24"/>
        <v>0</v>
      </c>
      <c r="AL96" s="194"/>
      <c r="AM96" s="163"/>
      <c r="AN96" s="163" t="str">
        <f t="shared" si="36"/>
        <v>Instructional Management</v>
      </c>
      <c r="AO96" s="163"/>
      <c r="AP96" s="163"/>
      <c r="AQ96" s="163"/>
      <c r="AR96" s="163"/>
      <c r="AS96" s="163"/>
      <c r="AT96" s="163"/>
      <c r="AU96" s="163"/>
      <c r="AV96" s="163"/>
      <c r="AW96" s="163"/>
      <c r="AX96" s="163"/>
      <c r="AY96" s="163"/>
      <c r="AZ96" s="165"/>
      <c r="BA96" s="165"/>
      <c r="BB96" s="165"/>
      <c r="BC96" s="165"/>
      <c r="BD96" s="165"/>
      <c r="BE96" s="165"/>
    </row>
    <row r="97" spans="3:57" ht="15" customHeight="1">
      <c r="C97" s="94" t="s">
        <v>35</v>
      </c>
      <c r="D97" s="193"/>
      <c r="E97" s="197"/>
      <c r="F97" s="198"/>
      <c r="H97" s="199"/>
      <c r="I97" s="199"/>
      <c r="J97" s="199"/>
      <c r="K97" s="199"/>
      <c r="L97" s="199"/>
      <c r="M97" s="217"/>
      <c r="N97" s="292"/>
      <c r="Y97" s="183" t="s">
        <v>21</v>
      </c>
      <c r="Z97" s="184" t="str">
        <f t="shared" si="14"/>
        <v>Deans, Directors &amp; Coordinators</v>
      </c>
      <c r="AA97" s="318"/>
      <c r="AB97" s="187">
        <f t="shared" si="15"/>
        <v>0</v>
      </c>
      <c r="AC97" s="187">
        <f t="shared" si="16"/>
        <v>0</v>
      </c>
      <c r="AD97" s="187">
        <f t="shared" si="17"/>
        <v>0</v>
      </c>
      <c r="AE97" s="187">
        <f t="shared" si="18"/>
        <v>0</v>
      </c>
      <c r="AF97" s="187">
        <f t="shared" si="19"/>
        <v>0</v>
      </c>
      <c r="AG97" s="187">
        <f t="shared" si="20"/>
        <v>0</v>
      </c>
      <c r="AH97" s="187">
        <f t="shared" si="21"/>
        <v>0</v>
      </c>
      <c r="AI97" s="187">
        <f t="shared" si="22"/>
        <v>0</v>
      </c>
      <c r="AJ97" s="187">
        <f t="shared" si="23"/>
        <v>0</v>
      </c>
      <c r="AK97" s="187">
        <f t="shared" si="24"/>
        <v>0</v>
      </c>
      <c r="AL97" s="194"/>
      <c r="AM97" s="163"/>
      <c r="AN97" s="163" t="str">
        <f t="shared" si="36"/>
        <v>Deans, Directors &amp; Coordinators</v>
      </c>
      <c r="AO97" s="163"/>
      <c r="AP97" s="163"/>
      <c r="AQ97" s="163"/>
      <c r="AR97" s="163"/>
      <c r="AS97" s="163"/>
      <c r="AT97" s="163"/>
      <c r="AU97" s="163"/>
      <c r="AV97" s="163"/>
      <c r="AW97" s="163"/>
      <c r="AX97" s="163"/>
      <c r="AY97" s="163"/>
      <c r="AZ97" s="165"/>
      <c r="BA97" s="165"/>
      <c r="BB97" s="165"/>
      <c r="BC97" s="165"/>
      <c r="BD97" s="165"/>
      <c r="BE97" s="165"/>
    </row>
    <row r="98" spans="3:57" ht="15" customHeight="1">
      <c r="C98" s="94" t="s">
        <v>36</v>
      </c>
      <c r="D98" s="193"/>
      <c r="E98" s="197"/>
      <c r="F98" s="198"/>
      <c r="H98" s="199"/>
      <c r="I98" s="199"/>
      <c r="J98" s="199"/>
      <c r="K98" s="199"/>
      <c r="L98" s="199"/>
      <c r="M98" s="217"/>
      <c r="N98" s="292"/>
      <c r="Y98" s="183" t="s">
        <v>21</v>
      </c>
      <c r="Z98" s="184" t="str">
        <f t="shared" ref="Z98:Z150" si="37">C98</f>
        <v>CFO / Director of Finance</v>
      </c>
      <c r="AA98" s="318"/>
      <c r="AB98" s="187">
        <f t="shared" ref="AB98:AB150" si="38">F98+SUM(F98*H98)</f>
        <v>0</v>
      </c>
      <c r="AC98" s="187">
        <f t="shared" ref="AC98:AC150" si="39">AB98+SUM(AB98*I98)</f>
        <v>0</v>
      </c>
      <c r="AD98" s="187">
        <f t="shared" ref="AD98:AD150" si="40">AC98+SUM(AC98*J98)</f>
        <v>0</v>
      </c>
      <c r="AE98" s="187">
        <f t="shared" ref="AE98:AE150" si="41">AD98+SUM(AD98*K98)</f>
        <v>0</v>
      </c>
      <c r="AF98" s="187">
        <f t="shared" ref="AF98:AF150" si="42">AE98+SUM(AE98*L98)</f>
        <v>0</v>
      </c>
      <c r="AG98" s="187">
        <f t="shared" ref="AG98:AG150" si="43">AF98+SUM(AF98*M98)</f>
        <v>0</v>
      </c>
      <c r="AH98" s="187">
        <f t="shared" ref="AH98:AH150" si="44">AG98+SUM(AG98*N98)</f>
        <v>0</v>
      </c>
      <c r="AI98" s="187">
        <f t="shared" ref="AI98:AI150" si="45">AH98+SUM(AH98*O98)</f>
        <v>0</v>
      </c>
      <c r="AJ98" s="187">
        <f t="shared" ref="AJ98:AJ150" si="46">AI98+SUM(AI98*P98)</f>
        <v>0</v>
      </c>
      <c r="AK98" s="187">
        <f t="shared" ref="AK98:AK150" si="47">AJ98+SUM(AJ98*Q98)</f>
        <v>0</v>
      </c>
      <c r="AL98" s="194"/>
      <c r="AM98" s="163"/>
      <c r="AN98" s="163" t="str">
        <f t="shared" si="36"/>
        <v>CFO / Director of Finance</v>
      </c>
      <c r="AO98" s="163"/>
      <c r="AP98" s="163"/>
      <c r="AQ98" s="163"/>
      <c r="AR98" s="163"/>
      <c r="AS98" s="163"/>
      <c r="AT98" s="163"/>
      <c r="AU98" s="163"/>
      <c r="AV98" s="163"/>
      <c r="AW98" s="163"/>
      <c r="AX98" s="163"/>
      <c r="AY98" s="163"/>
      <c r="AZ98" s="165"/>
      <c r="BA98" s="165"/>
      <c r="BB98" s="165"/>
      <c r="BC98" s="165"/>
      <c r="BD98" s="165"/>
      <c r="BE98" s="165"/>
    </row>
    <row r="99" spans="3:57" ht="15" customHeight="1">
      <c r="C99" s="94" t="s">
        <v>37</v>
      </c>
      <c r="D99" s="193"/>
      <c r="E99" s="197"/>
      <c r="F99" s="198"/>
      <c r="H99" s="199"/>
      <c r="I99" s="199"/>
      <c r="J99" s="199"/>
      <c r="K99" s="199"/>
      <c r="L99" s="199"/>
      <c r="M99" s="217"/>
      <c r="N99" s="292"/>
      <c r="Y99" s="183" t="s">
        <v>21</v>
      </c>
      <c r="Z99" s="184" t="str">
        <f t="shared" si="37"/>
        <v>Operation / Business Manager</v>
      </c>
      <c r="AA99" s="318"/>
      <c r="AB99" s="187">
        <f t="shared" si="38"/>
        <v>0</v>
      </c>
      <c r="AC99" s="187">
        <f t="shared" si="39"/>
        <v>0</v>
      </c>
      <c r="AD99" s="187">
        <f t="shared" si="40"/>
        <v>0</v>
      </c>
      <c r="AE99" s="187">
        <f t="shared" si="41"/>
        <v>0</v>
      </c>
      <c r="AF99" s="187">
        <f t="shared" si="42"/>
        <v>0</v>
      </c>
      <c r="AG99" s="187">
        <f t="shared" si="43"/>
        <v>0</v>
      </c>
      <c r="AH99" s="187">
        <f t="shared" si="44"/>
        <v>0</v>
      </c>
      <c r="AI99" s="187">
        <f t="shared" si="45"/>
        <v>0</v>
      </c>
      <c r="AJ99" s="187">
        <f t="shared" si="46"/>
        <v>0</v>
      </c>
      <c r="AK99" s="187">
        <f t="shared" si="47"/>
        <v>0</v>
      </c>
      <c r="AL99" s="194"/>
      <c r="AM99" s="163"/>
      <c r="AN99" s="163" t="str">
        <f t="shared" si="36"/>
        <v>Operation / Business Manager</v>
      </c>
      <c r="AO99" s="163"/>
      <c r="AP99" s="163"/>
      <c r="AQ99" s="163"/>
      <c r="AR99" s="163"/>
      <c r="AS99" s="163"/>
      <c r="AT99" s="163"/>
      <c r="AU99" s="163"/>
      <c r="AV99" s="163"/>
      <c r="AW99" s="163"/>
      <c r="AX99" s="163"/>
      <c r="AY99" s="163"/>
      <c r="AZ99" s="165"/>
      <c r="BA99" s="165"/>
      <c r="BB99" s="165"/>
      <c r="BC99" s="165"/>
      <c r="BD99" s="165"/>
      <c r="BE99" s="165"/>
    </row>
    <row r="100" spans="3:57" ht="15" customHeight="1">
      <c r="C100" s="94" t="s">
        <v>38</v>
      </c>
      <c r="D100" s="193"/>
      <c r="E100" s="197"/>
      <c r="F100" s="198"/>
      <c r="H100" s="199"/>
      <c r="I100" s="199"/>
      <c r="J100" s="199"/>
      <c r="K100" s="199"/>
      <c r="L100" s="199"/>
      <c r="M100" s="217"/>
      <c r="N100" s="292"/>
      <c r="Y100" s="183" t="s">
        <v>21</v>
      </c>
      <c r="Z100" s="184" t="str">
        <f t="shared" si="37"/>
        <v>Administrative Staff</v>
      </c>
      <c r="AA100" s="318"/>
      <c r="AB100" s="187">
        <f t="shared" si="38"/>
        <v>0</v>
      </c>
      <c r="AC100" s="187">
        <f t="shared" si="39"/>
        <v>0</v>
      </c>
      <c r="AD100" s="187">
        <f t="shared" si="40"/>
        <v>0</v>
      </c>
      <c r="AE100" s="187">
        <f t="shared" si="41"/>
        <v>0</v>
      </c>
      <c r="AF100" s="187">
        <f t="shared" si="42"/>
        <v>0</v>
      </c>
      <c r="AG100" s="187">
        <f t="shared" si="43"/>
        <v>0</v>
      </c>
      <c r="AH100" s="187">
        <f t="shared" si="44"/>
        <v>0</v>
      </c>
      <c r="AI100" s="187">
        <f t="shared" si="45"/>
        <v>0</v>
      </c>
      <c r="AJ100" s="187">
        <f t="shared" si="46"/>
        <v>0</v>
      </c>
      <c r="AK100" s="187">
        <f t="shared" si="47"/>
        <v>0</v>
      </c>
      <c r="AL100" s="194"/>
      <c r="AM100" s="163"/>
      <c r="AN100" s="163" t="str">
        <f t="shared" si="36"/>
        <v>Administrative Staff</v>
      </c>
      <c r="AO100" s="163"/>
      <c r="AP100" s="163"/>
      <c r="AQ100" s="163"/>
      <c r="AR100" s="163"/>
      <c r="AS100" s="163"/>
      <c r="AT100" s="163"/>
      <c r="AU100" s="163"/>
      <c r="AV100" s="163"/>
      <c r="AW100" s="163"/>
      <c r="AX100" s="163"/>
      <c r="AY100" s="163"/>
      <c r="AZ100" s="165"/>
      <c r="BA100" s="165"/>
      <c r="BB100" s="165"/>
      <c r="BC100" s="165"/>
      <c r="BD100" s="165"/>
      <c r="BE100" s="165"/>
    </row>
    <row r="101" spans="3:57" ht="15" customHeight="1">
      <c r="C101" s="94" t="s">
        <v>161</v>
      </c>
      <c r="D101" s="193"/>
      <c r="E101" s="197"/>
      <c r="F101" s="198"/>
      <c r="H101" s="199"/>
      <c r="I101" s="199"/>
      <c r="J101" s="199"/>
      <c r="K101" s="199"/>
      <c r="L101" s="199"/>
      <c r="M101" s="217"/>
      <c r="N101" s="292"/>
      <c r="Y101" s="183" t="s">
        <v>21</v>
      </c>
      <c r="Z101" s="184" t="str">
        <f t="shared" si="37"/>
        <v>Other - Administrative</v>
      </c>
      <c r="AA101" s="318"/>
      <c r="AB101" s="187">
        <f t="shared" si="38"/>
        <v>0</v>
      </c>
      <c r="AC101" s="187">
        <f t="shared" si="39"/>
        <v>0</v>
      </c>
      <c r="AD101" s="187">
        <f t="shared" si="40"/>
        <v>0</v>
      </c>
      <c r="AE101" s="187">
        <f t="shared" si="41"/>
        <v>0</v>
      </c>
      <c r="AF101" s="187">
        <f t="shared" si="42"/>
        <v>0</v>
      </c>
      <c r="AG101" s="187">
        <f t="shared" si="43"/>
        <v>0</v>
      </c>
      <c r="AH101" s="187">
        <f t="shared" si="44"/>
        <v>0</v>
      </c>
      <c r="AI101" s="187">
        <f t="shared" si="45"/>
        <v>0</v>
      </c>
      <c r="AJ101" s="187">
        <f t="shared" si="46"/>
        <v>0</v>
      </c>
      <c r="AK101" s="187">
        <f t="shared" si="47"/>
        <v>0</v>
      </c>
      <c r="AL101" s="194"/>
      <c r="AM101" s="163"/>
      <c r="AN101" s="163" t="str">
        <f t="shared" si="36"/>
        <v>Other - Administrative</v>
      </c>
      <c r="AO101" s="163"/>
      <c r="AP101" s="163"/>
      <c r="AQ101" s="163"/>
      <c r="AR101" s="163"/>
      <c r="AS101" s="163"/>
      <c r="AT101" s="163"/>
      <c r="AU101" s="163"/>
      <c r="AV101" s="163"/>
      <c r="AW101" s="163"/>
      <c r="AX101" s="163"/>
      <c r="AY101" s="163"/>
      <c r="AZ101" s="165"/>
      <c r="BA101" s="165"/>
      <c r="BB101" s="165"/>
      <c r="BC101" s="165"/>
      <c r="BD101" s="165"/>
      <c r="BE101" s="165"/>
    </row>
    <row r="102" spans="3:57" ht="15" customHeight="1">
      <c r="C102" s="196" t="str">
        <f>"TOTAL "&amp;C94</f>
        <v>TOTAL ADMINISTRATIVE STAFF PERSONNEL COSTS</v>
      </c>
      <c r="D102" s="193"/>
      <c r="E102" s="193"/>
      <c r="F102" s="193"/>
      <c r="H102" s="193"/>
      <c r="I102" s="193"/>
      <c r="J102" s="193"/>
      <c r="K102" s="193"/>
      <c r="L102" s="193"/>
      <c r="M102" s="217"/>
      <c r="N102" s="292"/>
      <c r="Y102" s="183" t="s">
        <v>21</v>
      </c>
      <c r="Z102" s="184" t="str">
        <f t="shared" si="37"/>
        <v>TOTAL ADMINISTRATIVE STAFF PERSONNEL COSTS</v>
      </c>
      <c r="AA102" s="318"/>
      <c r="AB102" s="187">
        <f t="shared" si="38"/>
        <v>0</v>
      </c>
      <c r="AC102" s="187">
        <f t="shared" si="39"/>
        <v>0</v>
      </c>
      <c r="AD102" s="187">
        <f t="shared" si="40"/>
        <v>0</v>
      </c>
      <c r="AE102" s="187">
        <f t="shared" si="41"/>
        <v>0</v>
      </c>
      <c r="AF102" s="187">
        <f t="shared" si="42"/>
        <v>0</v>
      </c>
      <c r="AG102" s="187">
        <f t="shared" si="43"/>
        <v>0</v>
      </c>
      <c r="AH102" s="187">
        <f t="shared" si="44"/>
        <v>0</v>
      </c>
      <c r="AI102" s="187">
        <f t="shared" si="45"/>
        <v>0</v>
      </c>
      <c r="AJ102" s="187">
        <f t="shared" si="46"/>
        <v>0</v>
      </c>
      <c r="AK102" s="187">
        <f t="shared" si="47"/>
        <v>0</v>
      </c>
      <c r="AL102" s="194"/>
      <c r="AM102" s="163"/>
      <c r="AN102" s="163" t="str">
        <f t="shared" ref="AN102:AN109" si="48">C105</f>
        <v>Teachers - Regular</v>
      </c>
      <c r="AO102" s="163"/>
      <c r="AP102" s="163"/>
      <c r="AQ102" s="163"/>
      <c r="AR102" s="163"/>
      <c r="AS102" s="163"/>
      <c r="AT102" s="163"/>
      <c r="AU102" s="163"/>
      <c r="AV102" s="163"/>
      <c r="AW102" s="163"/>
      <c r="AX102" s="163"/>
      <c r="AY102" s="163"/>
      <c r="AZ102" s="165"/>
      <c r="BA102" s="165"/>
      <c r="BB102" s="165"/>
      <c r="BC102" s="165"/>
      <c r="BD102" s="165"/>
      <c r="BE102" s="165"/>
    </row>
    <row r="103" spans="3:57" ht="6" customHeight="1">
      <c r="C103" s="196"/>
      <c r="D103" s="193"/>
      <c r="E103" s="193"/>
      <c r="F103" s="193"/>
      <c r="H103" s="193"/>
      <c r="I103" s="193"/>
      <c r="J103" s="193"/>
      <c r="K103" s="193"/>
      <c r="L103" s="193"/>
      <c r="M103" s="217"/>
      <c r="N103" s="352"/>
      <c r="Y103" s="183" t="s">
        <v>21</v>
      </c>
      <c r="Z103" s="184">
        <f t="shared" si="37"/>
        <v>0</v>
      </c>
      <c r="AA103" s="318"/>
      <c r="AB103" s="187">
        <f t="shared" si="38"/>
        <v>0</v>
      </c>
      <c r="AC103" s="187">
        <f t="shared" si="39"/>
        <v>0</v>
      </c>
      <c r="AD103" s="187">
        <f t="shared" si="40"/>
        <v>0</v>
      </c>
      <c r="AE103" s="187">
        <f t="shared" si="41"/>
        <v>0</v>
      </c>
      <c r="AF103" s="187">
        <f t="shared" si="42"/>
        <v>0</v>
      </c>
      <c r="AG103" s="187">
        <f t="shared" si="43"/>
        <v>0</v>
      </c>
      <c r="AH103" s="187">
        <f t="shared" si="44"/>
        <v>0</v>
      </c>
      <c r="AI103" s="187">
        <f t="shared" si="45"/>
        <v>0</v>
      </c>
      <c r="AJ103" s="187">
        <f t="shared" si="46"/>
        <v>0</v>
      </c>
      <c r="AK103" s="187">
        <f t="shared" si="47"/>
        <v>0</v>
      </c>
      <c r="AL103" s="194"/>
      <c r="AM103" s="163"/>
      <c r="AN103" s="163" t="str">
        <f t="shared" si="48"/>
        <v>Teachers - SPED</v>
      </c>
      <c r="AO103" s="163"/>
      <c r="AP103" s="163"/>
      <c r="AQ103" s="163"/>
      <c r="AR103" s="163"/>
      <c r="AS103" s="163"/>
      <c r="AT103" s="163"/>
      <c r="AU103" s="163"/>
      <c r="AV103" s="163"/>
      <c r="AW103" s="163"/>
      <c r="AX103" s="163"/>
      <c r="AY103" s="163"/>
      <c r="AZ103" s="165"/>
      <c r="BA103" s="165"/>
      <c r="BB103" s="165"/>
      <c r="BC103" s="165"/>
      <c r="BD103" s="165"/>
      <c r="BE103" s="165"/>
    </row>
    <row r="104" spans="3:57" ht="15" customHeight="1">
      <c r="C104" s="81" t="s">
        <v>39</v>
      </c>
      <c r="D104" s="193"/>
      <c r="E104" s="193"/>
      <c r="F104" s="193"/>
      <c r="H104" s="193"/>
      <c r="I104" s="193"/>
      <c r="J104" s="193"/>
      <c r="K104" s="193"/>
      <c r="L104" s="193"/>
      <c r="M104" s="217"/>
      <c r="N104" s="292"/>
      <c r="Y104" s="183" t="s">
        <v>21</v>
      </c>
      <c r="Z104" s="184" t="str">
        <f t="shared" si="37"/>
        <v>INSTRUCTIONAL PERSONNEL COSTS</v>
      </c>
      <c r="AA104" s="318"/>
      <c r="AB104" s="187">
        <f t="shared" si="38"/>
        <v>0</v>
      </c>
      <c r="AC104" s="187">
        <f t="shared" si="39"/>
        <v>0</v>
      </c>
      <c r="AD104" s="187">
        <f t="shared" si="40"/>
        <v>0</v>
      </c>
      <c r="AE104" s="187">
        <f t="shared" si="41"/>
        <v>0</v>
      </c>
      <c r="AF104" s="187">
        <f t="shared" si="42"/>
        <v>0</v>
      </c>
      <c r="AG104" s="187">
        <f t="shared" si="43"/>
        <v>0</v>
      </c>
      <c r="AH104" s="187">
        <f t="shared" si="44"/>
        <v>0</v>
      </c>
      <c r="AI104" s="187">
        <f t="shared" si="45"/>
        <v>0</v>
      </c>
      <c r="AJ104" s="187">
        <f t="shared" si="46"/>
        <v>0</v>
      </c>
      <c r="AK104" s="187">
        <f t="shared" si="47"/>
        <v>0</v>
      </c>
      <c r="AL104" s="194"/>
      <c r="AM104" s="163"/>
      <c r="AN104" s="163" t="str">
        <f t="shared" si="48"/>
        <v>Substitute Teachers</v>
      </c>
      <c r="AO104" s="163"/>
      <c r="AP104" s="163"/>
      <c r="AQ104" s="163"/>
      <c r="AR104" s="163"/>
      <c r="AS104" s="163"/>
      <c r="AT104" s="163"/>
      <c r="AU104" s="163"/>
      <c r="AV104" s="163"/>
      <c r="AW104" s="163"/>
      <c r="AX104" s="163"/>
      <c r="AY104" s="163"/>
      <c r="AZ104" s="165"/>
      <c r="BA104" s="165"/>
      <c r="BB104" s="165"/>
      <c r="BC104" s="165"/>
      <c r="BD104" s="165"/>
      <c r="BE104" s="165"/>
    </row>
    <row r="105" spans="3:57" ht="15" customHeight="1">
      <c r="C105" s="94" t="s">
        <v>40</v>
      </c>
      <c r="D105" s="200"/>
      <c r="E105" s="197"/>
      <c r="F105" s="198"/>
      <c r="H105" s="199"/>
      <c r="I105" s="199"/>
      <c r="J105" s="199"/>
      <c r="K105" s="199"/>
      <c r="L105" s="199"/>
      <c r="M105" s="217"/>
      <c r="N105" s="292"/>
      <c r="Y105" s="183" t="s">
        <v>21</v>
      </c>
      <c r="Z105" s="184" t="str">
        <f t="shared" si="37"/>
        <v>Teachers - Regular</v>
      </c>
      <c r="AA105" s="318"/>
      <c r="AB105" s="187">
        <f t="shared" si="38"/>
        <v>0</v>
      </c>
      <c r="AC105" s="187">
        <f t="shared" si="39"/>
        <v>0</v>
      </c>
      <c r="AD105" s="187">
        <f t="shared" si="40"/>
        <v>0</v>
      </c>
      <c r="AE105" s="187">
        <f t="shared" si="41"/>
        <v>0</v>
      </c>
      <c r="AF105" s="187">
        <f t="shared" si="42"/>
        <v>0</v>
      </c>
      <c r="AG105" s="187">
        <f t="shared" si="43"/>
        <v>0</v>
      </c>
      <c r="AH105" s="187">
        <f t="shared" si="44"/>
        <v>0</v>
      </c>
      <c r="AI105" s="187">
        <f t="shared" si="45"/>
        <v>0</v>
      </c>
      <c r="AJ105" s="187">
        <f t="shared" si="46"/>
        <v>0</v>
      </c>
      <c r="AK105" s="187">
        <f t="shared" si="47"/>
        <v>0</v>
      </c>
      <c r="AL105" s="194"/>
      <c r="AM105" s="163"/>
      <c r="AN105" s="163" t="str">
        <f t="shared" si="48"/>
        <v>Teaching Assistants</v>
      </c>
      <c r="AO105" s="163"/>
      <c r="AP105" s="163"/>
      <c r="AQ105" s="163"/>
      <c r="AR105" s="163"/>
      <c r="AS105" s="163"/>
      <c r="AT105" s="163"/>
      <c r="AU105" s="163"/>
      <c r="AV105" s="163"/>
      <c r="AW105" s="163"/>
      <c r="AX105" s="163"/>
      <c r="AY105" s="163"/>
      <c r="AZ105" s="165"/>
      <c r="BA105" s="165"/>
      <c r="BB105" s="165"/>
      <c r="BC105" s="165"/>
      <c r="BD105" s="165"/>
      <c r="BE105" s="165"/>
    </row>
    <row r="106" spans="3:57" ht="15" customHeight="1">
      <c r="C106" s="94" t="s">
        <v>41</v>
      </c>
      <c r="D106" s="200"/>
      <c r="E106" s="197"/>
      <c r="F106" s="198"/>
      <c r="H106" s="199"/>
      <c r="I106" s="199"/>
      <c r="J106" s="199"/>
      <c r="K106" s="199"/>
      <c r="L106" s="199"/>
      <c r="M106" s="217"/>
      <c r="N106" s="292"/>
      <c r="Y106" s="183" t="s">
        <v>21</v>
      </c>
      <c r="Z106" s="184" t="str">
        <f t="shared" si="37"/>
        <v>Teachers - SPED</v>
      </c>
      <c r="AA106" s="318"/>
      <c r="AB106" s="187">
        <f t="shared" si="38"/>
        <v>0</v>
      </c>
      <c r="AC106" s="187">
        <f t="shared" si="39"/>
        <v>0</v>
      </c>
      <c r="AD106" s="187">
        <f t="shared" si="40"/>
        <v>0</v>
      </c>
      <c r="AE106" s="187">
        <f t="shared" si="41"/>
        <v>0</v>
      </c>
      <c r="AF106" s="187">
        <f t="shared" si="42"/>
        <v>0</v>
      </c>
      <c r="AG106" s="187">
        <f t="shared" si="43"/>
        <v>0</v>
      </c>
      <c r="AH106" s="187">
        <f t="shared" si="44"/>
        <v>0</v>
      </c>
      <c r="AI106" s="187">
        <f t="shared" si="45"/>
        <v>0</v>
      </c>
      <c r="AJ106" s="187">
        <f t="shared" si="46"/>
        <v>0</v>
      </c>
      <c r="AK106" s="187">
        <f t="shared" si="47"/>
        <v>0</v>
      </c>
      <c r="AL106" s="194"/>
      <c r="AM106" s="163"/>
      <c r="AN106" s="163" t="str">
        <f t="shared" si="48"/>
        <v>Specialty Teachers</v>
      </c>
      <c r="AO106" s="163"/>
      <c r="AP106" s="163"/>
      <c r="AQ106" s="163"/>
      <c r="AR106" s="163"/>
      <c r="AS106" s="163"/>
      <c r="AT106" s="163"/>
      <c r="AU106" s="163"/>
      <c r="AV106" s="163"/>
      <c r="AW106" s="163"/>
      <c r="AX106" s="163"/>
      <c r="AY106" s="163"/>
      <c r="AZ106" s="165"/>
      <c r="BA106" s="165"/>
      <c r="BB106" s="165"/>
      <c r="BC106" s="165"/>
      <c r="BD106" s="165"/>
      <c r="BE106" s="165"/>
    </row>
    <row r="107" spans="3:57" ht="15" customHeight="1">
      <c r="C107" s="94" t="s">
        <v>42</v>
      </c>
      <c r="D107" s="200"/>
      <c r="E107" s="197"/>
      <c r="F107" s="198"/>
      <c r="H107" s="199"/>
      <c r="I107" s="199"/>
      <c r="J107" s="199"/>
      <c r="K107" s="199"/>
      <c r="L107" s="199"/>
      <c r="M107" s="217"/>
      <c r="N107" s="292"/>
      <c r="Y107" s="183" t="s">
        <v>21</v>
      </c>
      <c r="Z107" s="184" t="str">
        <f t="shared" si="37"/>
        <v>Substitute Teachers</v>
      </c>
      <c r="AA107" s="318"/>
      <c r="AB107" s="187">
        <f t="shared" si="38"/>
        <v>0</v>
      </c>
      <c r="AC107" s="187">
        <f t="shared" si="39"/>
        <v>0</v>
      </c>
      <c r="AD107" s="187">
        <f t="shared" si="40"/>
        <v>0</v>
      </c>
      <c r="AE107" s="187">
        <f t="shared" si="41"/>
        <v>0</v>
      </c>
      <c r="AF107" s="187">
        <f t="shared" si="42"/>
        <v>0</v>
      </c>
      <c r="AG107" s="187">
        <f t="shared" si="43"/>
        <v>0</v>
      </c>
      <c r="AH107" s="187">
        <f t="shared" si="44"/>
        <v>0</v>
      </c>
      <c r="AI107" s="187">
        <f t="shared" si="45"/>
        <v>0</v>
      </c>
      <c r="AJ107" s="187">
        <f t="shared" si="46"/>
        <v>0</v>
      </c>
      <c r="AK107" s="187">
        <f t="shared" si="47"/>
        <v>0</v>
      </c>
      <c r="AL107" s="194"/>
      <c r="AM107" s="163"/>
      <c r="AN107" s="163" t="str">
        <f t="shared" si="48"/>
        <v>Aides</v>
      </c>
      <c r="AO107" s="163"/>
      <c r="AP107" s="163"/>
      <c r="AQ107" s="163"/>
      <c r="AR107" s="163"/>
      <c r="AS107" s="163"/>
      <c r="AT107" s="163"/>
      <c r="AU107" s="163"/>
      <c r="AV107" s="163"/>
      <c r="AW107" s="163"/>
      <c r="AX107" s="163"/>
      <c r="AY107" s="163"/>
      <c r="AZ107" s="165"/>
      <c r="BA107" s="165"/>
      <c r="BB107" s="165"/>
      <c r="BC107" s="165"/>
      <c r="BD107" s="165"/>
      <c r="BE107" s="165"/>
    </row>
    <row r="108" spans="3:57" ht="15" customHeight="1">
      <c r="C108" s="94" t="s">
        <v>43</v>
      </c>
      <c r="D108" s="200"/>
      <c r="E108" s="197"/>
      <c r="F108" s="198"/>
      <c r="H108" s="199"/>
      <c r="I108" s="199"/>
      <c r="J108" s="199"/>
      <c r="K108" s="199"/>
      <c r="L108" s="199"/>
      <c r="M108" s="217"/>
      <c r="N108" s="292"/>
      <c r="Y108" s="183" t="s">
        <v>21</v>
      </c>
      <c r="Z108" s="184" t="str">
        <f t="shared" si="37"/>
        <v>Teaching Assistants</v>
      </c>
      <c r="AA108" s="318"/>
      <c r="AB108" s="187">
        <f t="shared" si="38"/>
        <v>0</v>
      </c>
      <c r="AC108" s="187">
        <f t="shared" si="39"/>
        <v>0</v>
      </c>
      <c r="AD108" s="187">
        <f t="shared" si="40"/>
        <v>0</v>
      </c>
      <c r="AE108" s="187">
        <f t="shared" si="41"/>
        <v>0</v>
      </c>
      <c r="AF108" s="187">
        <f t="shared" si="42"/>
        <v>0</v>
      </c>
      <c r="AG108" s="187">
        <f t="shared" si="43"/>
        <v>0</v>
      </c>
      <c r="AH108" s="187">
        <f t="shared" si="44"/>
        <v>0</v>
      </c>
      <c r="AI108" s="187">
        <f t="shared" si="45"/>
        <v>0</v>
      </c>
      <c r="AJ108" s="187">
        <f t="shared" si="46"/>
        <v>0</v>
      </c>
      <c r="AK108" s="187">
        <f t="shared" si="47"/>
        <v>0</v>
      </c>
      <c r="AL108" s="194"/>
      <c r="AM108" s="163"/>
      <c r="AN108" s="163" t="str">
        <f t="shared" si="48"/>
        <v>Therapists &amp; Counselors</v>
      </c>
      <c r="AO108" s="163"/>
      <c r="AP108" s="163"/>
      <c r="AQ108" s="163"/>
      <c r="AR108" s="163"/>
      <c r="AS108" s="163"/>
      <c r="AT108" s="163"/>
      <c r="AU108" s="163"/>
      <c r="AV108" s="163"/>
      <c r="AW108" s="163"/>
      <c r="AX108" s="163"/>
      <c r="AY108" s="163"/>
      <c r="AZ108" s="165"/>
      <c r="BA108" s="165"/>
      <c r="BB108" s="165"/>
      <c r="BC108" s="165"/>
      <c r="BD108" s="165"/>
      <c r="BE108" s="165"/>
    </row>
    <row r="109" spans="3:57" ht="15" customHeight="1">
      <c r="C109" s="94" t="s">
        <v>44</v>
      </c>
      <c r="D109" s="200"/>
      <c r="E109" s="197"/>
      <c r="F109" s="198"/>
      <c r="H109" s="199"/>
      <c r="I109" s="199"/>
      <c r="J109" s="199"/>
      <c r="K109" s="199"/>
      <c r="L109" s="199"/>
      <c r="M109" s="217"/>
      <c r="N109" s="292"/>
      <c r="Y109" s="183" t="s">
        <v>21</v>
      </c>
      <c r="Z109" s="184" t="str">
        <f t="shared" si="37"/>
        <v>Specialty Teachers</v>
      </c>
      <c r="AA109" s="318"/>
      <c r="AB109" s="187">
        <f t="shared" si="38"/>
        <v>0</v>
      </c>
      <c r="AC109" s="187">
        <f t="shared" si="39"/>
        <v>0</v>
      </c>
      <c r="AD109" s="187">
        <f t="shared" si="40"/>
        <v>0</v>
      </c>
      <c r="AE109" s="187">
        <f t="shared" si="41"/>
        <v>0</v>
      </c>
      <c r="AF109" s="187">
        <f t="shared" si="42"/>
        <v>0</v>
      </c>
      <c r="AG109" s="187">
        <f t="shared" si="43"/>
        <v>0</v>
      </c>
      <c r="AH109" s="187">
        <f t="shared" si="44"/>
        <v>0</v>
      </c>
      <c r="AI109" s="187">
        <f t="shared" si="45"/>
        <v>0</v>
      </c>
      <c r="AJ109" s="187">
        <f t="shared" si="46"/>
        <v>0</v>
      </c>
      <c r="AK109" s="187">
        <f t="shared" si="47"/>
        <v>0</v>
      </c>
      <c r="AL109" s="194"/>
      <c r="AM109" s="163"/>
      <c r="AN109" s="163" t="str">
        <f t="shared" si="48"/>
        <v xml:space="preserve">Other - Instructional </v>
      </c>
      <c r="AO109" s="163"/>
      <c r="AP109" s="163"/>
      <c r="AQ109" s="163"/>
      <c r="AR109" s="163"/>
      <c r="AS109" s="163"/>
      <c r="AT109" s="163"/>
      <c r="AU109" s="163"/>
      <c r="AV109" s="163"/>
      <c r="AW109" s="163"/>
      <c r="AX109" s="163"/>
      <c r="AY109" s="163"/>
      <c r="AZ109" s="165"/>
      <c r="BA109" s="165"/>
      <c r="BB109" s="165"/>
      <c r="BC109" s="165"/>
      <c r="BD109" s="165"/>
      <c r="BE109" s="165"/>
    </row>
    <row r="110" spans="3:57" ht="15" customHeight="1">
      <c r="C110" s="94" t="s">
        <v>45</v>
      </c>
      <c r="D110" s="200"/>
      <c r="E110" s="197"/>
      <c r="F110" s="198"/>
      <c r="H110" s="199"/>
      <c r="I110" s="199"/>
      <c r="J110" s="199"/>
      <c r="K110" s="199"/>
      <c r="L110" s="199"/>
      <c r="M110" s="217"/>
      <c r="N110" s="292"/>
      <c r="Y110" s="183" t="s">
        <v>21</v>
      </c>
      <c r="Z110" s="184" t="str">
        <f t="shared" si="37"/>
        <v>Aides</v>
      </c>
      <c r="AA110" s="318"/>
      <c r="AB110" s="187">
        <f t="shared" si="38"/>
        <v>0</v>
      </c>
      <c r="AC110" s="187">
        <f t="shared" si="39"/>
        <v>0</v>
      </c>
      <c r="AD110" s="187">
        <f t="shared" si="40"/>
        <v>0</v>
      </c>
      <c r="AE110" s="187">
        <f t="shared" si="41"/>
        <v>0</v>
      </c>
      <c r="AF110" s="187">
        <f t="shared" si="42"/>
        <v>0</v>
      </c>
      <c r="AG110" s="187">
        <f t="shared" si="43"/>
        <v>0</v>
      </c>
      <c r="AH110" s="187">
        <f t="shared" si="44"/>
        <v>0</v>
      </c>
      <c r="AI110" s="187">
        <f t="shared" si="45"/>
        <v>0</v>
      </c>
      <c r="AJ110" s="187">
        <f t="shared" si="46"/>
        <v>0</v>
      </c>
      <c r="AK110" s="187">
        <f t="shared" si="47"/>
        <v>0</v>
      </c>
      <c r="AL110" s="194"/>
      <c r="AM110" s="163"/>
      <c r="AN110" s="163" t="str">
        <f>C116</f>
        <v>Nurse</v>
      </c>
      <c r="AO110" s="163"/>
      <c r="AP110" s="163"/>
      <c r="AQ110" s="163"/>
      <c r="AR110" s="163"/>
      <c r="AS110" s="163"/>
      <c r="AT110" s="163"/>
      <c r="AU110" s="163"/>
      <c r="AV110" s="163"/>
      <c r="AW110" s="163"/>
      <c r="AX110" s="163"/>
      <c r="AY110" s="163"/>
      <c r="AZ110" s="165"/>
      <c r="BA110" s="165"/>
      <c r="BB110" s="165"/>
      <c r="BC110" s="165"/>
      <c r="BD110" s="165"/>
      <c r="BE110" s="165"/>
    </row>
    <row r="111" spans="3:57" ht="15" customHeight="1">
      <c r="C111" s="94" t="s">
        <v>46</v>
      </c>
      <c r="D111" s="200"/>
      <c r="E111" s="197"/>
      <c r="F111" s="198"/>
      <c r="H111" s="199"/>
      <c r="I111" s="199"/>
      <c r="J111" s="199"/>
      <c r="K111" s="199"/>
      <c r="L111" s="199"/>
      <c r="M111" s="217"/>
      <c r="N111" s="292"/>
      <c r="Y111" s="183" t="s">
        <v>21</v>
      </c>
      <c r="Z111" s="184" t="str">
        <f t="shared" si="37"/>
        <v>Therapists &amp; Counselors</v>
      </c>
      <c r="AA111" s="318"/>
      <c r="AB111" s="187">
        <f t="shared" si="38"/>
        <v>0</v>
      </c>
      <c r="AC111" s="187">
        <f t="shared" si="39"/>
        <v>0</v>
      </c>
      <c r="AD111" s="187">
        <f t="shared" si="40"/>
        <v>0</v>
      </c>
      <c r="AE111" s="187">
        <f t="shared" si="41"/>
        <v>0</v>
      </c>
      <c r="AF111" s="187">
        <f t="shared" si="42"/>
        <v>0</v>
      </c>
      <c r="AG111" s="187">
        <f t="shared" si="43"/>
        <v>0</v>
      </c>
      <c r="AH111" s="187">
        <f t="shared" si="44"/>
        <v>0</v>
      </c>
      <c r="AI111" s="187">
        <f t="shared" si="45"/>
        <v>0</v>
      </c>
      <c r="AJ111" s="187">
        <f t="shared" si="46"/>
        <v>0</v>
      </c>
      <c r="AK111" s="187">
        <f t="shared" si="47"/>
        <v>0</v>
      </c>
      <c r="AL111" s="194"/>
      <c r="AM111" s="163"/>
      <c r="AN111" s="163" t="str">
        <f>C117</f>
        <v>Librarian</v>
      </c>
      <c r="AO111" s="163"/>
      <c r="AP111" s="163"/>
      <c r="AQ111" s="163"/>
      <c r="AR111" s="163"/>
      <c r="AS111" s="163"/>
      <c r="AT111" s="163"/>
      <c r="AU111" s="163"/>
      <c r="AV111" s="163"/>
      <c r="AW111" s="163"/>
      <c r="AX111" s="163"/>
      <c r="AY111" s="163"/>
      <c r="AZ111" s="165"/>
      <c r="BA111" s="165"/>
      <c r="BB111" s="165"/>
      <c r="BC111" s="165"/>
      <c r="BD111" s="165"/>
      <c r="BE111" s="165"/>
    </row>
    <row r="112" spans="3:57" ht="15" customHeight="1">
      <c r="C112" s="94" t="s">
        <v>160</v>
      </c>
      <c r="D112" s="200"/>
      <c r="E112" s="197"/>
      <c r="F112" s="198"/>
      <c r="H112" s="199"/>
      <c r="I112" s="199"/>
      <c r="J112" s="199"/>
      <c r="K112" s="199"/>
      <c r="L112" s="199"/>
      <c r="M112" s="217"/>
      <c r="N112" s="292"/>
      <c r="Y112" s="183" t="s">
        <v>21</v>
      </c>
      <c r="Z112" s="184" t="str">
        <f t="shared" si="37"/>
        <v xml:space="preserve">Other - Instructional </v>
      </c>
      <c r="AA112" s="318"/>
      <c r="AB112" s="187">
        <f t="shared" si="38"/>
        <v>0</v>
      </c>
      <c r="AC112" s="187">
        <f t="shared" si="39"/>
        <v>0</v>
      </c>
      <c r="AD112" s="187">
        <f t="shared" si="40"/>
        <v>0</v>
      </c>
      <c r="AE112" s="187">
        <f t="shared" si="41"/>
        <v>0</v>
      </c>
      <c r="AF112" s="187">
        <f t="shared" si="42"/>
        <v>0</v>
      </c>
      <c r="AG112" s="187">
        <f t="shared" si="43"/>
        <v>0</v>
      </c>
      <c r="AH112" s="187">
        <f t="shared" si="44"/>
        <v>0</v>
      </c>
      <c r="AI112" s="187">
        <f t="shared" si="45"/>
        <v>0</v>
      </c>
      <c r="AJ112" s="187">
        <f t="shared" si="46"/>
        <v>0</v>
      </c>
      <c r="AK112" s="187">
        <f t="shared" si="47"/>
        <v>0</v>
      </c>
      <c r="AL112" s="194"/>
      <c r="AM112" s="163"/>
      <c r="AN112" s="163" t="str">
        <f>C118</f>
        <v>Custodian</v>
      </c>
      <c r="AO112" s="163"/>
      <c r="AP112" s="163"/>
      <c r="AQ112" s="163"/>
      <c r="AR112" s="163"/>
      <c r="AS112" s="163"/>
      <c r="AT112" s="163"/>
      <c r="AU112" s="163"/>
      <c r="AV112" s="163"/>
      <c r="AW112" s="163"/>
      <c r="AX112" s="163"/>
      <c r="AY112" s="163"/>
      <c r="AZ112" s="165"/>
      <c r="BA112" s="165"/>
      <c r="BB112" s="165"/>
      <c r="BC112" s="165"/>
      <c r="BD112" s="165"/>
      <c r="BE112" s="165"/>
    </row>
    <row r="113" spans="3:57" ht="15" customHeight="1">
      <c r="C113" s="196" t="str">
        <f>"TOTAL "&amp;C104</f>
        <v>TOTAL INSTRUCTIONAL PERSONNEL COSTS</v>
      </c>
      <c r="D113" s="193"/>
      <c r="E113" s="193"/>
      <c r="F113" s="193"/>
      <c r="H113" s="193"/>
      <c r="I113" s="193"/>
      <c r="J113" s="193"/>
      <c r="K113" s="193"/>
      <c r="L113" s="193"/>
      <c r="M113" s="217"/>
      <c r="N113" s="292"/>
      <c r="Y113" s="183" t="s">
        <v>21</v>
      </c>
      <c r="Z113" s="184" t="str">
        <f t="shared" si="37"/>
        <v>TOTAL INSTRUCTIONAL PERSONNEL COSTS</v>
      </c>
      <c r="AA113" s="318"/>
      <c r="AB113" s="187">
        <f t="shared" si="38"/>
        <v>0</v>
      </c>
      <c r="AC113" s="187">
        <f t="shared" si="39"/>
        <v>0</v>
      </c>
      <c r="AD113" s="187">
        <f t="shared" si="40"/>
        <v>0</v>
      </c>
      <c r="AE113" s="187">
        <f t="shared" si="41"/>
        <v>0</v>
      </c>
      <c r="AF113" s="187">
        <f t="shared" si="42"/>
        <v>0</v>
      </c>
      <c r="AG113" s="187">
        <f t="shared" si="43"/>
        <v>0</v>
      </c>
      <c r="AH113" s="187">
        <f t="shared" si="44"/>
        <v>0</v>
      </c>
      <c r="AI113" s="187">
        <f t="shared" si="45"/>
        <v>0</v>
      </c>
      <c r="AJ113" s="187">
        <f t="shared" si="46"/>
        <v>0</v>
      </c>
      <c r="AK113" s="187">
        <f t="shared" si="47"/>
        <v>0</v>
      </c>
      <c r="AL113" s="194"/>
      <c r="AM113" s="163"/>
      <c r="AN113" s="163" t="str">
        <f>C119</f>
        <v>Security</v>
      </c>
      <c r="AO113" s="163"/>
      <c r="AP113" s="163"/>
      <c r="AQ113" s="163"/>
      <c r="AR113" s="163"/>
      <c r="AS113" s="163"/>
      <c r="AT113" s="163"/>
      <c r="AU113" s="163"/>
      <c r="AV113" s="163"/>
      <c r="AW113" s="163"/>
      <c r="AX113" s="163"/>
      <c r="AY113" s="163"/>
      <c r="AZ113" s="165"/>
      <c r="BA113" s="165"/>
      <c r="BB113" s="165"/>
      <c r="BC113" s="165"/>
      <c r="BD113" s="165"/>
      <c r="BE113" s="165"/>
    </row>
    <row r="114" spans="3:57" ht="6" customHeight="1">
      <c r="C114" s="196"/>
      <c r="D114" s="193"/>
      <c r="E114" s="193"/>
      <c r="F114" s="193"/>
      <c r="H114" s="193"/>
      <c r="I114" s="193"/>
      <c r="J114" s="193"/>
      <c r="K114" s="193"/>
      <c r="L114" s="193"/>
      <c r="M114" s="217"/>
      <c r="N114" s="352"/>
      <c r="Y114" s="183" t="s">
        <v>21</v>
      </c>
      <c r="Z114" s="184">
        <f t="shared" si="37"/>
        <v>0</v>
      </c>
      <c r="AA114" s="318"/>
      <c r="AB114" s="187">
        <f t="shared" si="38"/>
        <v>0</v>
      </c>
      <c r="AC114" s="187">
        <f t="shared" si="39"/>
        <v>0</v>
      </c>
      <c r="AD114" s="187">
        <f t="shared" si="40"/>
        <v>0</v>
      </c>
      <c r="AE114" s="187">
        <f t="shared" si="41"/>
        <v>0</v>
      </c>
      <c r="AF114" s="187">
        <f t="shared" si="42"/>
        <v>0</v>
      </c>
      <c r="AG114" s="187">
        <f t="shared" si="43"/>
        <v>0</v>
      </c>
      <c r="AH114" s="187">
        <f t="shared" si="44"/>
        <v>0</v>
      </c>
      <c r="AI114" s="187">
        <f t="shared" si="45"/>
        <v>0</v>
      </c>
      <c r="AJ114" s="187">
        <f t="shared" si="46"/>
        <v>0</v>
      </c>
      <c r="AK114" s="187">
        <f t="shared" si="47"/>
        <v>0</v>
      </c>
      <c r="AL114" s="194"/>
      <c r="AM114" s="163"/>
      <c r="AN114" s="163" t="str">
        <f>C120</f>
        <v xml:space="preserve">Other - Non-Instructional </v>
      </c>
      <c r="AO114" s="163"/>
      <c r="AP114" s="163"/>
      <c r="AQ114" s="163"/>
      <c r="AR114" s="163"/>
      <c r="AS114" s="163"/>
      <c r="AT114" s="163"/>
      <c r="AU114" s="163"/>
      <c r="AV114" s="163"/>
      <c r="AW114" s="163"/>
      <c r="AX114" s="163"/>
      <c r="AY114" s="163"/>
      <c r="AZ114" s="165"/>
      <c r="BA114" s="165"/>
      <c r="BB114" s="165"/>
      <c r="BC114" s="165"/>
      <c r="BD114" s="165"/>
      <c r="BE114" s="165"/>
    </row>
    <row r="115" spans="3:57" ht="15" customHeight="1">
      <c r="C115" s="81" t="s">
        <v>47</v>
      </c>
      <c r="D115" s="193"/>
      <c r="E115" s="193"/>
      <c r="F115" s="193"/>
      <c r="H115" s="193"/>
      <c r="I115" s="193"/>
      <c r="J115" s="193"/>
      <c r="K115" s="193"/>
      <c r="L115" s="193"/>
      <c r="M115" s="217"/>
      <c r="N115" s="292"/>
      <c r="Y115" s="183" t="s">
        <v>21</v>
      </c>
      <c r="Z115" s="184" t="str">
        <f t="shared" si="37"/>
        <v>NON-INSTRUCTIONAL PERSONNEL COSTS</v>
      </c>
      <c r="AA115" s="318"/>
      <c r="AB115" s="187">
        <f t="shared" si="38"/>
        <v>0</v>
      </c>
      <c r="AC115" s="187">
        <f t="shared" si="39"/>
        <v>0</v>
      </c>
      <c r="AD115" s="187">
        <f t="shared" si="40"/>
        <v>0</v>
      </c>
      <c r="AE115" s="187">
        <f t="shared" si="41"/>
        <v>0</v>
      </c>
      <c r="AF115" s="187">
        <f t="shared" si="42"/>
        <v>0</v>
      </c>
      <c r="AG115" s="187">
        <f t="shared" si="43"/>
        <v>0</v>
      </c>
      <c r="AH115" s="187">
        <f t="shared" si="44"/>
        <v>0</v>
      </c>
      <c r="AI115" s="187">
        <f t="shared" si="45"/>
        <v>0</v>
      </c>
      <c r="AJ115" s="187">
        <f t="shared" si="46"/>
        <v>0</v>
      </c>
      <c r="AK115" s="187">
        <f t="shared" si="47"/>
        <v>0</v>
      </c>
      <c r="AL115" s="194"/>
      <c r="AM115" s="163"/>
      <c r="AN115" s="163"/>
      <c r="AO115" s="163"/>
      <c r="AP115" s="163"/>
      <c r="AQ115" s="163"/>
      <c r="AR115" s="163"/>
      <c r="AS115" s="163"/>
      <c r="AT115" s="163"/>
      <c r="AU115" s="163"/>
      <c r="AV115" s="163"/>
      <c r="AW115" s="163"/>
      <c r="AX115" s="163"/>
      <c r="AY115" s="163"/>
      <c r="AZ115" s="165"/>
      <c r="BA115" s="165"/>
      <c r="BB115" s="165"/>
      <c r="BC115" s="165"/>
      <c r="BD115" s="165"/>
      <c r="BE115" s="165"/>
    </row>
    <row r="116" spans="3:57" ht="15" customHeight="1">
      <c r="C116" s="94" t="s">
        <v>48</v>
      </c>
      <c r="D116" s="193"/>
      <c r="E116" s="197"/>
      <c r="F116" s="198"/>
      <c r="H116" s="199"/>
      <c r="I116" s="199"/>
      <c r="J116" s="199"/>
      <c r="K116" s="199"/>
      <c r="L116" s="199"/>
      <c r="M116" s="217"/>
      <c r="N116" s="292"/>
      <c r="Y116" s="183" t="s">
        <v>21</v>
      </c>
      <c r="Z116" s="184" t="str">
        <f t="shared" si="37"/>
        <v>Nurse</v>
      </c>
      <c r="AA116" s="318"/>
      <c r="AB116" s="187">
        <f t="shared" si="38"/>
        <v>0</v>
      </c>
      <c r="AC116" s="187">
        <f t="shared" si="39"/>
        <v>0</v>
      </c>
      <c r="AD116" s="187">
        <f t="shared" si="40"/>
        <v>0</v>
      </c>
      <c r="AE116" s="187">
        <f t="shared" si="41"/>
        <v>0</v>
      </c>
      <c r="AF116" s="187">
        <f t="shared" si="42"/>
        <v>0</v>
      </c>
      <c r="AG116" s="187">
        <f t="shared" si="43"/>
        <v>0</v>
      </c>
      <c r="AH116" s="187">
        <f t="shared" si="44"/>
        <v>0</v>
      </c>
      <c r="AI116" s="187">
        <f t="shared" si="45"/>
        <v>0</v>
      </c>
      <c r="AJ116" s="187">
        <f t="shared" si="46"/>
        <v>0</v>
      </c>
      <c r="AK116" s="187">
        <f t="shared" si="47"/>
        <v>0</v>
      </c>
      <c r="AL116" s="194"/>
      <c r="AM116" s="163"/>
      <c r="AN116" s="163"/>
      <c r="AO116" s="163"/>
      <c r="AP116" s="163"/>
      <c r="AQ116" s="163"/>
      <c r="AR116" s="163"/>
      <c r="AS116" s="163"/>
      <c r="AT116" s="163"/>
      <c r="AU116" s="163"/>
      <c r="AV116" s="163"/>
      <c r="AW116" s="163"/>
      <c r="AX116" s="163"/>
      <c r="AY116" s="163"/>
      <c r="AZ116" s="165"/>
      <c r="BA116" s="165"/>
      <c r="BB116" s="165"/>
      <c r="BC116" s="165"/>
      <c r="BD116" s="165"/>
      <c r="BE116" s="165"/>
    </row>
    <row r="117" spans="3:57" ht="15" customHeight="1">
      <c r="C117" s="94" t="s">
        <v>49</v>
      </c>
      <c r="D117" s="193"/>
      <c r="E117" s="197"/>
      <c r="F117" s="198"/>
      <c r="H117" s="199"/>
      <c r="I117" s="199"/>
      <c r="J117" s="199"/>
      <c r="K117" s="199"/>
      <c r="L117" s="199"/>
      <c r="M117" s="217"/>
      <c r="N117" s="292"/>
      <c r="Y117" s="183" t="s">
        <v>21</v>
      </c>
      <c r="Z117" s="184" t="str">
        <f t="shared" si="37"/>
        <v>Librarian</v>
      </c>
      <c r="AA117" s="318"/>
      <c r="AB117" s="187">
        <f t="shared" si="38"/>
        <v>0</v>
      </c>
      <c r="AC117" s="187">
        <f t="shared" si="39"/>
        <v>0</v>
      </c>
      <c r="AD117" s="187">
        <f t="shared" si="40"/>
        <v>0</v>
      </c>
      <c r="AE117" s="187">
        <f t="shared" si="41"/>
        <v>0</v>
      </c>
      <c r="AF117" s="187">
        <f t="shared" si="42"/>
        <v>0</v>
      </c>
      <c r="AG117" s="187">
        <f t="shared" si="43"/>
        <v>0</v>
      </c>
      <c r="AH117" s="187">
        <f t="shared" si="44"/>
        <v>0</v>
      </c>
      <c r="AI117" s="187">
        <f t="shared" si="45"/>
        <v>0</v>
      </c>
      <c r="AJ117" s="187">
        <f t="shared" si="46"/>
        <v>0</v>
      </c>
      <c r="AK117" s="187">
        <f t="shared" si="47"/>
        <v>0</v>
      </c>
      <c r="AL117" s="194"/>
      <c r="AM117" s="163"/>
      <c r="AN117" s="163"/>
      <c r="AO117" s="163"/>
      <c r="AP117" s="163"/>
      <c r="AQ117" s="163"/>
      <c r="AR117" s="163"/>
      <c r="AS117" s="163"/>
      <c r="AT117" s="163"/>
      <c r="AU117" s="163"/>
      <c r="AV117" s="163"/>
      <c r="AW117" s="163"/>
      <c r="AX117" s="163"/>
      <c r="AY117" s="163"/>
      <c r="AZ117" s="165"/>
      <c r="BA117" s="165"/>
      <c r="BB117" s="165"/>
      <c r="BC117" s="165"/>
      <c r="BD117" s="165"/>
      <c r="BE117" s="165"/>
    </row>
    <row r="118" spans="3:57" ht="15" customHeight="1">
      <c r="C118" s="94" t="s">
        <v>50</v>
      </c>
      <c r="D118" s="193"/>
      <c r="E118" s="197"/>
      <c r="F118" s="198"/>
      <c r="H118" s="199"/>
      <c r="I118" s="199"/>
      <c r="J118" s="199"/>
      <c r="K118" s="199"/>
      <c r="L118" s="199"/>
      <c r="M118" s="217"/>
      <c r="N118" s="292"/>
      <c r="Y118" s="183" t="s">
        <v>21</v>
      </c>
      <c r="Z118" s="184" t="str">
        <f t="shared" si="37"/>
        <v>Custodian</v>
      </c>
      <c r="AA118" s="318"/>
      <c r="AB118" s="187">
        <f t="shared" si="38"/>
        <v>0</v>
      </c>
      <c r="AC118" s="187">
        <f t="shared" si="39"/>
        <v>0</v>
      </c>
      <c r="AD118" s="187">
        <f t="shared" si="40"/>
        <v>0</v>
      </c>
      <c r="AE118" s="187">
        <f t="shared" si="41"/>
        <v>0</v>
      </c>
      <c r="AF118" s="187">
        <f t="shared" si="42"/>
        <v>0</v>
      </c>
      <c r="AG118" s="187">
        <f t="shared" si="43"/>
        <v>0</v>
      </c>
      <c r="AH118" s="187">
        <f t="shared" si="44"/>
        <v>0</v>
      </c>
      <c r="AI118" s="187">
        <f t="shared" si="45"/>
        <v>0</v>
      </c>
      <c r="AJ118" s="187">
        <f t="shared" si="46"/>
        <v>0</v>
      </c>
      <c r="AK118" s="187">
        <f t="shared" si="47"/>
        <v>0</v>
      </c>
      <c r="AL118" s="194"/>
      <c r="AM118" s="163"/>
      <c r="AN118" s="163"/>
      <c r="AO118" s="163"/>
      <c r="AP118" s="163"/>
      <c r="AQ118" s="163"/>
      <c r="AR118" s="163"/>
      <c r="AS118" s="163"/>
      <c r="AT118" s="163"/>
      <c r="AU118" s="163"/>
      <c r="AV118" s="163"/>
      <c r="AW118" s="163"/>
      <c r="AX118" s="163"/>
      <c r="AY118" s="163"/>
      <c r="AZ118" s="165"/>
      <c r="BA118" s="165"/>
      <c r="BB118" s="165"/>
      <c r="BC118" s="165"/>
      <c r="BD118" s="165"/>
      <c r="BE118" s="165"/>
    </row>
    <row r="119" spans="3:57" ht="15" customHeight="1">
      <c r="C119" s="94" t="s">
        <v>51</v>
      </c>
      <c r="D119" s="193"/>
      <c r="E119" s="197"/>
      <c r="F119" s="198"/>
      <c r="H119" s="199"/>
      <c r="I119" s="199"/>
      <c r="J119" s="199"/>
      <c r="K119" s="199"/>
      <c r="L119" s="199"/>
      <c r="M119" s="217"/>
      <c r="N119" s="292"/>
      <c r="Y119" s="183" t="s">
        <v>21</v>
      </c>
      <c r="Z119" s="184" t="str">
        <f t="shared" si="37"/>
        <v>Security</v>
      </c>
      <c r="AA119" s="318"/>
      <c r="AB119" s="187">
        <f t="shared" si="38"/>
        <v>0</v>
      </c>
      <c r="AC119" s="187">
        <f t="shared" si="39"/>
        <v>0</v>
      </c>
      <c r="AD119" s="187">
        <f t="shared" si="40"/>
        <v>0</v>
      </c>
      <c r="AE119" s="187">
        <f t="shared" si="41"/>
        <v>0</v>
      </c>
      <c r="AF119" s="187">
        <f t="shared" si="42"/>
        <v>0</v>
      </c>
      <c r="AG119" s="187">
        <f t="shared" si="43"/>
        <v>0</v>
      </c>
      <c r="AH119" s="187">
        <f t="shared" si="44"/>
        <v>0</v>
      </c>
      <c r="AI119" s="187">
        <f t="shared" si="45"/>
        <v>0</v>
      </c>
      <c r="AJ119" s="187">
        <f t="shared" si="46"/>
        <v>0</v>
      </c>
      <c r="AK119" s="187">
        <f t="shared" si="47"/>
        <v>0</v>
      </c>
      <c r="AL119" s="194"/>
      <c r="AM119" s="163"/>
      <c r="AN119" s="163"/>
      <c r="AO119" s="163"/>
      <c r="AP119" s="163"/>
      <c r="AQ119" s="163"/>
      <c r="AR119" s="163"/>
      <c r="AS119" s="163"/>
      <c r="AT119" s="163"/>
      <c r="AU119" s="163"/>
      <c r="AV119" s="163"/>
      <c r="AW119" s="163"/>
      <c r="AX119" s="163"/>
      <c r="AY119" s="163"/>
      <c r="AZ119" s="165"/>
      <c r="BA119" s="165"/>
      <c r="BB119" s="165"/>
      <c r="BC119" s="165"/>
      <c r="BD119" s="165"/>
      <c r="BE119" s="165"/>
    </row>
    <row r="120" spans="3:57" ht="15" customHeight="1">
      <c r="C120" s="94" t="s">
        <v>159</v>
      </c>
      <c r="D120" s="193"/>
      <c r="E120" s="197"/>
      <c r="F120" s="198"/>
      <c r="H120" s="199"/>
      <c r="I120" s="199"/>
      <c r="J120" s="199"/>
      <c r="K120" s="199"/>
      <c r="L120" s="199"/>
      <c r="M120" s="217"/>
      <c r="N120" s="292"/>
      <c r="Y120" s="183" t="s">
        <v>21</v>
      </c>
      <c r="Z120" s="184" t="str">
        <f t="shared" si="37"/>
        <v xml:space="preserve">Other - Non-Instructional </v>
      </c>
      <c r="AA120" s="318"/>
      <c r="AB120" s="187">
        <f t="shared" si="38"/>
        <v>0</v>
      </c>
      <c r="AC120" s="187">
        <f t="shared" si="39"/>
        <v>0</v>
      </c>
      <c r="AD120" s="187">
        <f t="shared" si="40"/>
        <v>0</v>
      </c>
      <c r="AE120" s="187">
        <f t="shared" si="41"/>
        <v>0</v>
      </c>
      <c r="AF120" s="187">
        <f t="shared" si="42"/>
        <v>0</v>
      </c>
      <c r="AG120" s="187">
        <f t="shared" si="43"/>
        <v>0</v>
      </c>
      <c r="AH120" s="187">
        <f t="shared" si="44"/>
        <v>0</v>
      </c>
      <c r="AI120" s="187">
        <f t="shared" si="45"/>
        <v>0</v>
      </c>
      <c r="AJ120" s="187">
        <f t="shared" si="46"/>
        <v>0</v>
      </c>
      <c r="AK120" s="187">
        <f t="shared" si="47"/>
        <v>0</v>
      </c>
      <c r="AL120" s="194"/>
      <c r="AM120" s="163"/>
      <c r="AN120" s="163"/>
      <c r="AO120" s="163"/>
      <c r="AP120" s="163"/>
      <c r="AQ120" s="163"/>
      <c r="AR120" s="163"/>
      <c r="AS120" s="163"/>
      <c r="AT120" s="163"/>
      <c r="AU120" s="163"/>
      <c r="AV120" s="163"/>
      <c r="AW120" s="163"/>
      <c r="AX120" s="163"/>
      <c r="AY120" s="163"/>
      <c r="AZ120" s="165"/>
      <c r="BA120" s="165"/>
      <c r="BB120" s="165"/>
      <c r="BC120" s="165"/>
      <c r="BD120" s="165"/>
      <c r="BE120" s="165"/>
    </row>
    <row r="121" spans="3:57" ht="15" customHeight="1">
      <c r="C121" s="196" t="str">
        <f>"TOTAL "&amp;C115</f>
        <v>TOTAL NON-INSTRUCTIONAL PERSONNEL COSTS</v>
      </c>
      <c r="D121" s="193"/>
      <c r="E121" s="193"/>
      <c r="F121" s="193"/>
      <c r="H121" s="193"/>
      <c r="I121" s="193"/>
      <c r="J121" s="193"/>
      <c r="K121" s="193"/>
      <c r="L121" s="193"/>
      <c r="M121" s="217"/>
      <c r="N121" s="292"/>
      <c r="Y121" s="183" t="s">
        <v>21</v>
      </c>
      <c r="Z121" s="184" t="str">
        <f t="shared" si="37"/>
        <v>TOTAL NON-INSTRUCTIONAL PERSONNEL COSTS</v>
      </c>
      <c r="AA121" s="318"/>
      <c r="AB121" s="187">
        <f t="shared" si="38"/>
        <v>0</v>
      </c>
      <c r="AC121" s="187">
        <f t="shared" si="39"/>
        <v>0</v>
      </c>
      <c r="AD121" s="187">
        <f t="shared" si="40"/>
        <v>0</v>
      </c>
      <c r="AE121" s="187">
        <f t="shared" si="41"/>
        <v>0</v>
      </c>
      <c r="AF121" s="187">
        <f t="shared" si="42"/>
        <v>0</v>
      </c>
      <c r="AG121" s="187">
        <f t="shared" si="43"/>
        <v>0</v>
      </c>
      <c r="AH121" s="187">
        <f t="shared" si="44"/>
        <v>0</v>
      </c>
      <c r="AI121" s="187">
        <f t="shared" si="45"/>
        <v>0</v>
      </c>
      <c r="AJ121" s="187">
        <f t="shared" si="46"/>
        <v>0</v>
      </c>
      <c r="AK121" s="187">
        <f t="shared" si="47"/>
        <v>0</v>
      </c>
      <c r="AL121" s="194"/>
      <c r="AM121" s="163"/>
      <c r="AN121" s="163"/>
      <c r="AO121" s="163"/>
      <c r="AP121" s="163"/>
      <c r="AQ121" s="163"/>
      <c r="AR121" s="163"/>
      <c r="AS121" s="163"/>
      <c r="AT121" s="163"/>
      <c r="AU121" s="163"/>
      <c r="AV121" s="163"/>
      <c r="AW121" s="163"/>
      <c r="AX121" s="163"/>
      <c r="AY121" s="163"/>
      <c r="AZ121" s="165"/>
      <c r="BA121" s="165"/>
      <c r="BB121" s="165"/>
      <c r="BC121" s="165"/>
      <c r="BD121" s="165"/>
      <c r="BE121" s="165"/>
    </row>
    <row r="122" spans="3:57" ht="6" customHeight="1">
      <c r="C122" s="196"/>
      <c r="D122" s="193"/>
      <c r="E122" s="193"/>
      <c r="F122" s="193"/>
      <c r="H122" s="193"/>
      <c r="I122" s="193"/>
      <c r="J122" s="193"/>
      <c r="K122" s="193"/>
      <c r="L122" s="193"/>
      <c r="M122" s="217"/>
      <c r="N122" s="352"/>
      <c r="Y122" s="183" t="s">
        <v>21</v>
      </c>
      <c r="Z122" s="184">
        <f t="shared" si="37"/>
        <v>0</v>
      </c>
      <c r="AA122" s="318"/>
      <c r="AB122" s="187">
        <f t="shared" si="38"/>
        <v>0</v>
      </c>
      <c r="AC122" s="187">
        <f t="shared" si="39"/>
        <v>0</v>
      </c>
      <c r="AD122" s="187">
        <f t="shared" si="40"/>
        <v>0</v>
      </c>
      <c r="AE122" s="187">
        <f t="shared" si="41"/>
        <v>0</v>
      </c>
      <c r="AF122" s="187">
        <f t="shared" si="42"/>
        <v>0</v>
      </c>
      <c r="AG122" s="187">
        <f t="shared" si="43"/>
        <v>0</v>
      </c>
      <c r="AH122" s="187">
        <f t="shared" si="44"/>
        <v>0</v>
      </c>
      <c r="AI122" s="187">
        <f t="shared" si="45"/>
        <v>0</v>
      </c>
      <c r="AJ122" s="187">
        <f t="shared" si="46"/>
        <v>0</v>
      </c>
      <c r="AK122" s="187">
        <f t="shared" si="47"/>
        <v>0</v>
      </c>
      <c r="AL122" s="194"/>
      <c r="AM122" s="163"/>
      <c r="AN122" s="163"/>
      <c r="AO122" s="163"/>
      <c r="AP122" s="163"/>
      <c r="AQ122" s="163"/>
      <c r="AR122" s="163"/>
      <c r="AS122" s="163"/>
      <c r="AT122" s="163"/>
      <c r="AU122" s="163"/>
      <c r="AV122" s="163"/>
      <c r="AW122" s="163"/>
      <c r="AX122" s="163"/>
      <c r="AY122" s="163"/>
      <c r="AZ122" s="165"/>
      <c r="BA122" s="165"/>
      <c r="BB122" s="165"/>
      <c r="BC122" s="165"/>
      <c r="BD122" s="165"/>
      <c r="BE122" s="165"/>
    </row>
    <row r="123" spans="3:57" ht="15" customHeight="1">
      <c r="C123" s="81" t="s">
        <v>176</v>
      </c>
      <c r="D123" s="193"/>
      <c r="E123" s="193"/>
      <c r="F123" s="193"/>
      <c r="H123" s="193"/>
      <c r="I123" s="193"/>
      <c r="J123" s="193"/>
      <c r="K123" s="193"/>
      <c r="L123" s="193"/>
      <c r="M123" s="217"/>
      <c r="N123" s="292"/>
      <c r="Y123" s="183" t="s">
        <v>21</v>
      </c>
      <c r="Z123" s="184" t="str">
        <f t="shared" si="37"/>
        <v>TOTAL PERSONNEL EXPENSES</v>
      </c>
      <c r="AA123" s="318"/>
      <c r="AB123" s="357">
        <f>F123+SUM(F123*H123)</f>
        <v>0</v>
      </c>
      <c r="AC123" s="187">
        <f t="shared" ref="AC123" si="49">AB123+SUM(AB123*I123)</f>
        <v>0</v>
      </c>
      <c r="AD123" s="187">
        <f t="shared" ref="AD123" si="50">AC123+SUM(AC123*J123)</f>
        <v>0</v>
      </c>
      <c r="AE123" s="187">
        <f t="shared" ref="AE123" si="51">AD123+SUM(AD123*K123)</f>
        <v>0</v>
      </c>
      <c r="AF123" s="187">
        <f t="shared" ref="AF123" si="52">AE123+SUM(AE123*L123)</f>
        <v>0</v>
      </c>
      <c r="AG123" s="187">
        <f t="shared" ref="AG123" si="53">AF123+SUM(AF123*M123)</f>
        <v>0</v>
      </c>
      <c r="AH123" s="187">
        <f t="shared" ref="AH123" si="54">AG123+SUM(AG123*N123)</f>
        <v>0</v>
      </c>
      <c r="AI123" s="187">
        <f t="shared" ref="AI123" si="55">AH123+SUM(AH123*O123)</f>
        <v>0</v>
      </c>
      <c r="AJ123" s="187">
        <f t="shared" ref="AJ123" si="56">AI123+SUM(AI123*P123)</f>
        <v>0</v>
      </c>
      <c r="AK123" s="187">
        <f t="shared" ref="AK123" si="57">AJ123+SUM(AJ123*Q123)</f>
        <v>0</v>
      </c>
      <c r="AL123" s="194"/>
      <c r="AM123" s="163"/>
      <c r="AN123" s="163"/>
      <c r="AO123" s="163"/>
      <c r="AP123" s="163"/>
      <c r="AQ123" s="163"/>
      <c r="AR123" s="163"/>
      <c r="AS123" s="163"/>
      <c r="AT123" s="163"/>
      <c r="AU123" s="163"/>
      <c r="AV123" s="163"/>
      <c r="AW123" s="163"/>
      <c r="AX123" s="163"/>
      <c r="AY123" s="163"/>
      <c r="AZ123" s="165"/>
      <c r="BA123" s="165"/>
      <c r="BB123" s="165"/>
      <c r="BC123" s="165"/>
      <c r="BD123" s="165"/>
      <c r="BE123" s="165"/>
    </row>
    <row r="124" spans="3:57" ht="15" customHeight="1">
      <c r="C124" s="81"/>
      <c r="D124" s="193"/>
      <c r="E124" s="193"/>
      <c r="F124" s="193"/>
      <c r="H124" s="399" t="s">
        <v>199</v>
      </c>
      <c r="I124" s="400"/>
      <c r="J124" s="400"/>
      <c r="K124" s="400"/>
      <c r="L124" s="401"/>
      <c r="M124" s="217"/>
      <c r="N124" s="352"/>
      <c r="Y124" s="183" t="s">
        <v>21</v>
      </c>
      <c r="Z124" s="184">
        <f t="shared" si="37"/>
        <v>0</v>
      </c>
      <c r="AA124" s="318"/>
      <c r="AB124" s="187" t="e">
        <f t="shared" si="38"/>
        <v>#VALUE!</v>
      </c>
      <c r="AC124" s="187" t="e">
        <f t="shared" si="39"/>
        <v>#VALUE!</v>
      </c>
      <c r="AD124" s="187" t="e">
        <f t="shared" si="40"/>
        <v>#VALUE!</v>
      </c>
      <c r="AE124" s="187" t="e">
        <f t="shared" si="41"/>
        <v>#VALUE!</v>
      </c>
      <c r="AF124" s="187" t="e">
        <f t="shared" si="42"/>
        <v>#VALUE!</v>
      </c>
      <c r="AG124" s="187" t="e">
        <f t="shared" si="43"/>
        <v>#VALUE!</v>
      </c>
      <c r="AH124" s="187" t="e">
        <f t="shared" si="44"/>
        <v>#VALUE!</v>
      </c>
      <c r="AI124" s="187" t="e">
        <f t="shared" si="45"/>
        <v>#VALUE!</v>
      </c>
      <c r="AJ124" s="187" t="e">
        <f t="shared" si="46"/>
        <v>#VALUE!</v>
      </c>
      <c r="AK124" s="187" t="e">
        <f t="shared" si="47"/>
        <v>#VALUE!</v>
      </c>
      <c r="AL124" s="194"/>
      <c r="AM124" s="163"/>
      <c r="AN124" s="163"/>
      <c r="AO124" s="163"/>
      <c r="AP124" s="163"/>
      <c r="AQ124" s="163"/>
      <c r="AR124" s="163"/>
      <c r="AS124" s="163"/>
      <c r="AT124" s="163"/>
      <c r="AU124" s="163"/>
      <c r="AV124" s="163"/>
      <c r="AW124" s="163"/>
      <c r="AX124" s="163"/>
      <c r="AY124" s="163"/>
      <c r="AZ124" s="165"/>
      <c r="BA124" s="165"/>
      <c r="BB124" s="165"/>
      <c r="BC124" s="165"/>
      <c r="BD124" s="165"/>
      <c r="BE124" s="165"/>
    </row>
    <row r="125" spans="3:57" ht="15" customHeight="1">
      <c r="C125" s="230" t="s">
        <v>52</v>
      </c>
      <c r="D125" s="193"/>
      <c r="E125" s="193"/>
      <c r="F125" s="193"/>
      <c r="H125" s="402"/>
      <c r="I125" s="403"/>
      <c r="J125" s="403"/>
      <c r="K125" s="403"/>
      <c r="L125" s="404"/>
      <c r="M125" s="217"/>
      <c r="N125" s="292"/>
      <c r="Y125" s="183" t="s">
        <v>21</v>
      </c>
      <c r="Z125" s="184" t="str">
        <f t="shared" si="37"/>
        <v>PAYROLL TAXES AND BENEFITS</v>
      </c>
      <c r="AA125" s="318"/>
      <c r="AB125" s="187">
        <f t="shared" si="38"/>
        <v>0</v>
      </c>
      <c r="AC125" s="187">
        <f t="shared" si="39"/>
        <v>0</v>
      </c>
      <c r="AD125" s="187">
        <f t="shared" si="40"/>
        <v>0</v>
      </c>
      <c r="AE125" s="187">
        <f t="shared" si="41"/>
        <v>0</v>
      </c>
      <c r="AF125" s="187">
        <f t="shared" si="42"/>
        <v>0</v>
      </c>
      <c r="AG125" s="187">
        <f t="shared" si="43"/>
        <v>0</v>
      </c>
      <c r="AH125" s="187">
        <f t="shared" si="44"/>
        <v>0</v>
      </c>
      <c r="AI125" s="187">
        <f t="shared" si="45"/>
        <v>0</v>
      </c>
      <c r="AJ125" s="187">
        <f t="shared" si="46"/>
        <v>0</v>
      </c>
      <c r="AK125" s="187">
        <f t="shared" si="47"/>
        <v>0</v>
      </c>
      <c r="AL125" s="194"/>
      <c r="AM125" s="163"/>
      <c r="AN125" s="163"/>
      <c r="AO125" s="163"/>
      <c r="AP125" s="163"/>
      <c r="AQ125" s="163"/>
      <c r="AR125" s="163"/>
      <c r="AS125" s="163"/>
      <c r="AT125" s="163"/>
      <c r="AU125" s="163"/>
      <c r="AV125" s="163"/>
      <c r="AW125" s="163"/>
      <c r="AX125" s="163"/>
      <c r="AY125" s="163"/>
      <c r="AZ125" s="165"/>
      <c r="BA125" s="165"/>
      <c r="BB125" s="165"/>
      <c r="BC125" s="165"/>
      <c r="BD125" s="165"/>
      <c r="BE125" s="165"/>
    </row>
    <row r="126" spans="3:57">
      <c r="C126" s="201" t="s">
        <v>131</v>
      </c>
      <c r="D126" s="202"/>
      <c r="E126" s="197"/>
      <c r="F126" s="198"/>
      <c r="H126" s="51">
        <v>6.2E-2</v>
      </c>
      <c r="I126" s="51">
        <v>6.2E-2</v>
      </c>
      <c r="J126" s="51">
        <v>6.2E-2</v>
      </c>
      <c r="K126" s="51">
        <v>6.2E-2</v>
      </c>
      <c r="L126" s="51">
        <v>6.2E-2</v>
      </c>
      <c r="M126" s="217"/>
      <c r="N126" s="292"/>
      <c r="Y126" s="183" t="s">
        <v>21</v>
      </c>
      <c r="Z126" s="184" t="str">
        <f t="shared" si="37"/>
        <v>Social Security</v>
      </c>
      <c r="AA126" s="318"/>
      <c r="AB126" s="187">
        <f t="shared" si="38"/>
        <v>0</v>
      </c>
      <c r="AC126" s="187">
        <f t="shared" si="39"/>
        <v>0</v>
      </c>
      <c r="AD126" s="187">
        <f t="shared" si="40"/>
        <v>0</v>
      </c>
      <c r="AE126" s="187">
        <f t="shared" si="41"/>
        <v>0</v>
      </c>
      <c r="AF126" s="187">
        <f t="shared" si="42"/>
        <v>0</v>
      </c>
      <c r="AG126" s="187">
        <f t="shared" si="43"/>
        <v>0</v>
      </c>
      <c r="AH126" s="187">
        <f t="shared" si="44"/>
        <v>0</v>
      </c>
      <c r="AI126" s="187">
        <f t="shared" si="45"/>
        <v>0</v>
      </c>
      <c r="AJ126" s="187">
        <f t="shared" si="46"/>
        <v>0</v>
      </c>
      <c r="AK126" s="187">
        <f t="shared" si="47"/>
        <v>0</v>
      </c>
      <c r="AL126" s="194"/>
      <c r="AM126" s="163"/>
      <c r="AN126" s="163"/>
      <c r="AO126" s="163"/>
      <c r="AP126" s="163"/>
      <c r="AQ126" s="163"/>
      <c r="AR126" s="163"/>
      <c r="AS126" s="163"/>
      <c r="AT126" s="163"/>
      <c r="AU126" s="163"/>
      <c r="AV126" s="163"/>
      <c r="AW126" s="163"/>
      <c r="AX126" s="163"/>
      <c r="AY126" s="163"/>
      <c r="AZ126" s="165"/>
      <c r="BA126" s="165"/>
      <c r="BB126" s="165"/>
      <c r="BC126" s="165"/>
      <c r="BD126" s="165"/>
      <c r="BE126" s="165"/>
    </row>
    <row r="127" spans="3:57" ht="15" customHeight="1">
      <c r="C127" s="201" t="s">
        <v>130</v>
      </c>
      <c r="D127" s="202"/>
      <c r="E127" s="197"/>
      <c r="F127" s="198"/>
      <c r="H127" s="51">
        <v>1.4500000000000001E-2</v>
      </c>
      <c r="I127" s="51">
        <v>1.4500000000000001E-2</v>
      </c>
      <c r="J127" s="51">
        <v>1.4500000000000001E-2</v>
      </c>
      <c r="K127" s="51">
        <v>1.4500000000000001E-2</v>
      </c>
      <c r="L127" s="51">
        <v>1.4500000000000001E-2</v>
      </c>
      <c r="M127" s="217"/>
      <c r="N127" s="292"/>
      <c r="Y127" s="183" t="s">
        <v>21</v>
      </c>
      <c r="Z127" s="184" t="str">
        <f t="shared" si="37"/>
        <v>Medicare</v>
      </c>
      <c r="AA127" s="318"/>
      <c r="AB127" s="187">
        <f t="shared" si="38"/>
        <v>0</v>
      </c>
      <c r="AC127" s="187">
        <f t="shared" si="39"/>
        <v>0</v>
      </c>
      <c r="AD127" s="187">
        <f t="shared" si="40"/>
        <v>0</v>
      </c>
      <c r="AE127" s="187">
        <f t="shared" si="41"/>
        <v>0</v>
      </c>
      <c r="AF127" s="187">
        <f t="shared" si="42"/>
        <v>0</v>
      </c>
      <c r="AG127" s="187">
        <f t="shared" si="43"/>
        <v>0</v>
      </c>
      <c r="AH127" s="187">
        <f t="shared" si="44"/>
        <v>0</v>
      </c>
      <c r="AI127" s="187">
        <f t="shared" si="45"/>
        <v>0</v>
      </c>
      <c r="AJ127" s="187">
        <f t="shared" si="46"/>
        <v>0</v>
      </c>
      <c r="AK127" s="187">
        <f t="shared" si="47"/>
        <v>0</v>
      </c>
      <c r="AL127" s="194"/>
      <c r="AM127" s="163"/>
      <c r="AN127" s="163"/>
      <c r="AO127" s="163"/>
      <c r="AP127" s="163"/>
      <c r="AQ127" s="163"/>
      <c r="AR127" s="163"/>
      <c r="AS127" s="163"/>
      <c r="AT127" s="163"/>
      <c r="AU127" s="163"/>
      <c r="AV127" s="163"/>
      <c r="AW127" s="163"/>
      <c r="AX127" s="163"/>
      <c r="AY127" s="163"/>
      <c r="AZ127" s="165"/>
      <c r="BA127" s="165"/>
      <c r="BB127" s="165"/>
      <c r="BC127" s="165"/>
      <c r="BD127" s="165"/>
      <c r="BE127" s="165"/>
    </row>
    <row r="128" spans="3:57" ht="15" customHeight="1">
      <c r="C128" s="201" t="s">
        <v>129</v>
      </c>
      <c r="D128" s="202"/>
      <c r="E128" s="197"/>
      <c r="F128" s="198"/>
      <c r="H128" s="51">
        <v>0</v>
      </c>
      <c r="I128" s="51">
        <v>0</v>
      </c>
      <c r="J128" s="51">
        <v>0</v>
      </c>
      <c r="K128" s="51">
        <v>0</v>
      </c>
      <c r="L128" s="51">
        <v>0</v>
      </c>
      <c r="M128" s="217"/>
      <c r="N128" s="292"/>
      <c r="Y128" s="183" t="s">
        <v>21</v>
      </c>
      <c r="Z128" s="184" t="str">
        <f t="shared" si="37"/>
        <v>State Unemployment</v>
      </c>
      <c r="AA128" s="318"/>
      <c r="AB128" s="187">
        <f t="shared" si="38"/>
        <v>0</v>
      </c>
      <c r="AC128" s="187">
        <f t="shared" si="39"/>
        <v>0</v>
      </c>
      <c r="AD128" s="187">
        <f t="shared" si="40"/>
        <v>0</v>
      </c>
      <c r="AE128" s="187">
        <f t="shared" si="41"/>
        <v>0</v>
      </c>
      <c r="AF128" s="187">
        <f t="shared" si="42"/>
        <v>0</v>
      </c>
      <c r="AG128" s="187">
        <f t="shared" si="43"/>
        <v>0</v>
      </c>
      <c r="AH128" s="187">
        <f t="shared" si="44"/>
        <v>0</v>
      </c>
      <c r="AI128" s="187">
        <f t="shared" si="45"/>
        <v>0</v>
      </c>
      <c r="AJ128" s="187">
        <f t="shared" si="46"/>
        <v>0</v>
      </c>
      <c r="AK128" s="187">
        <f t="shared" si="47"/>
        <v>0</v>
      </c>
      <c r="AL128" s="194"/>
      <c r="AM128" s="163"/>
      <c r="AN128" s="163"/>
      <c r="AO128" s="163"/>
      <c r="AP128" s="163"/>
      <c r="AQ128" s="163"/>
      <c r="AR128" s="163"/>
      <c r="AS128" s="163"/>
      <c r="AT128" s="163"/>
      <c r="AU128" s="163"/>
      <c r="AV128" s="163"/>
      <c r="AW128" s="163"/>
      <c r="AX128" s="163"/>
      <c r="AY128" s="163"/>
      <c r="AZ128" s="165"/>
      <c r="BA128" s="165"/>
      <c r="BB128" s="165"/>
      <c r="BC128" s="165"/>
      <c r="BD128" s="165"/>
      <c r="BE128" s="165"/>
    </row>
    <row r="129" spans="3:57" ht="15" customHeight="1">
      <c r="C129" s="201" t="s">
        <v>180</v>
      </c>
      <c r="D129" s="202"/>
      <c r="E129" s="197"/>
      <c r="F129" s="198"/>
      <c r="H129" s="51">
        <v>0</v>
      </c>
      <c r="I129" s="51">
        <v>0</v>
      </c>
      <c r="J129" s="51">
        <v>0</v>
      </c>
      <c r="K129" s="51">
        <v>0</v>
      </c>
      <c r="L129" s="51">
        <v>0</v>
      </c>
      <c r="M129" s="217"/>
      <c r="N129" s="292"/>
      <c r="Y129" s="183" t="s">
        <v>21</v>
      </c>
      <c r="Z129" s="184" t="str">
        <f t="shared" si="37"/>
        <v>Worker's Compensation Insurance</v>
      </c>
      <c r="AA129" s="318"/>
      <c r="AB129" s="187">
        <f t="shared" si="38"/>
        <v>0</v>
      </c>
      <c r="AC129" s="187">
        <f t="shared" si="39"/>
        <v>0</v>
      </c>
      <c r="AD129" s="187">
        <f t="shared" si="40"/>
        <v>0</v>
      </c>
      <c r="AE129" s="187">
        <f t="shared" si="41"/>
        <v>0</v>
      </c>
      <c r="AF129" s="187">
        <f t="shared" si="42"/>
        <v>0</v>
      </c>
      <c r="AG129" s="187">
        <f t="shared" si="43"/>
        <v>0</v>
      </c>
      <c r="AH129" s="187">
        <f t="shared" si="44"/>
        <v>0</v>
      </c>
      <c r="AI129" s="187">
        <f t="shared" si="45"/>
        <v>0</v>
      </c>
      <c r="AJ129" s="187">
        <f t="shared" si="46"/>
        <v>0</v>
      </c>
      <c r="AK129" s="187">
        <f t="shared" si="47"/>
        <v>0</v>
      </c>
      <c r="AL129" s="194"/>
      <c r="AM129" s="163"/>
      <c r="AN129" s="163"/>
      <c r="AO129" s="163"/>
      <c r="AP129" s="163"/>
      <c r="AQ129" s="163"/>
      <c r="AR129" s="163"/>
      <c r="AS129" s="163"/>
      <c r="AT129" s="163"/>
      <c r="AU129" s="163"/>
      <c r="AV129" s="163"/>
      <c r="AW129" s="163"/>
      <c r="AX129" s="163"/>
      <c r="AY129" s="163"/>
      <c r="AZ129" s="165"/>
      <c r="BA129" s="165"/>
      <c r="BB129" s="165"/>
      <c r="BC129" s="165"/>
      <c r="BD129" s="165"/>
      <c r="BE129" s="165"/>
    </row>
    <row r="130" spans="3:57" ht="15" customHeight="1">
      <c r="C130" s="211" t="s">
        <v>181</v>
      </c>
      <c r="D130" s="202"/>
      <c r="E130" s="197"/>
      <c r="F130" s="198"/>
      <c r="H130" s="51">
        <v>0</v>
      </c>
      <c r="I130" s="51">
        <v>0</v>
      </c>
      <c r="J130" s="51">
        <v>0</v>
      </c>
      <c r="K130" s="51">
        <v>0</v>
      </c>
      <c r="L130" s="51">
        <v>0</v>
      </c>
      <c r="M130" s="217"/>
      <c r="N130" s="292"/>
      <c r="Y130" s="183" t="s">
        <v>21</v>
      </c>
      <c r="Z130" s="184" t="str">
        <f t="shared" si="37"/>
        <v>Custom Other Tax #1</v>
      </c>
      <c r="AA130" s="318"/>
      <c r="AB130" s="187">
        <f t="shared" si="38"/>
        <v>0</v>
      </c>
      <c r="AC130" s="187">
        <f t="shared" si="39"/>
        <v>0</v>
      </c>
      <c r="AD130" s="187">
        <f t="shared" si="40"/>
        <v>0</v>
      </c>
      <c r="AE130" s="187">
        <f t="shared" si="41"/>
        <v>0</v>
      </c>
      <c r="AF130" s="187">
        <f t="shared" si="42"/>
        <v>0</v>
      </c>
      <c r="AG130" s="187">
        <f t="shared" si="43"/>
        <v>0</v>
      </c>
      <c r="AH130" s="187">
        <f t="shared" si="44"/>
        <v>0</v>
      </c>
      <c r="AI130" s="187">
        <f t="shared" si="45"/>
        <v>0</v>
      </c>
      <c r="AJ130" s="187">
        <f t="shared" si="46"/>
        <v>0</v>
      </c>
      <c r="AK130" s="187">
        <f t="shared" si="47"/>
        <v>0</v>
      </c>
      <c r="AL130" s="194"/>
      <c r="AM130" s="163"/>
      <c r="AN130" s="163"/>
      <c r="AO130" s="163"/>
      <c r="AP130" s="163"/>
      <c r="AQ130" s="163"/>
      <c r="AR130" s="163"/>
      <c r="AS130" s="163"/>
      <c r="AT130" s="163"/>
      <c r="AU130" s="163"/>
      <c r="AV130" s="163"/>
      <c r="AW130" s="163"/>
      <c r="AX130" s="163"/>
      <c r="AY130" s="163"/>
      <c r="AZ130" s="165"/>
      <c r="BA130" s="165"/>
      <c r="BB130" s="165"/>
      <c r="BC130" s="165"/>
      <c r="BD130" s="165"/>
      <c r="BE130" s="165"/>
    </row>
    <row r="131" spans="3:57" ht="15" customHeight="1">
      <c r="C131" s="211" t="s">
        <v>182</v>
      </c>
      <c r="D131" s="202"/>
      <c r="E131" s="197"/>
      <c r="F131" s="198"/>
      <c r="H131" s="51">
        <v>0</v>
      </c>
      <c r="I131" s="51">
        <v>0</v>
      </c>
      <c r="J131" s="51">
        <v>0</v>
      </c>
      <c r="K131" s="51">
        <v>0</v>
      </c>
      <c r="L131" s="51">
        <v>0</v>
      </c>
      <c r="M131" s="217"/>
      <c r="N131" s="292"/>
      <c r="Y131" s="183" t="s">
        <v>21</v>
      </c>
      <c r="Z131" s="184" t="str">
        <f t="shared" si="37"/>
        <v>Custom Other Tax #2</v>
      </c>
      <c r="AA131" s="318"/>
      <c r="AB131" s="187">
        <f t="shared" si="38"/>
        <v>0</v>
      </c>
      <c r="AC131" s="187">
        <f t="shared" si="39"/>
        <v>0</v>
      </c>
      <c r="AD131" s="187">
        <f t="shared" si="40"/>
        <v>0</v>
      </c>
      <c r="AE131" s="187">
        <f t="shared" si="41"/>
        <v>0</v>
      </c>
      <c r="AF131" s="187">
        <f t="shared" si="42"/>
        <v>0</v>
      </c>
      <c r="AG131" s="187">
        <f t="shared" si="43"/>
        <v>0</v>
      </c>
      <c r="AH131" s="187">
        <f t="shared" si="44"/>
        <v>0</v>
      </c>
      <c r="AI131" s="187">
        <f t="shared" si="45"/>
        <v>0</v>
      </c>
      <c r="AJ131" s="187">
        <f t="shared" si="46"/>
        <v>0</v>
      </c>
      <c r="AK131" s="187">
        <f t="shared" si="47"/>
        <v>0</v>
      </c>
      <c r="AL131" s="194"/>
      <c r="AM131" s="163"/>
      <c r="AN131" s="163"/>
      <c r="AO131" s="163"/>
      <c r="AP131" s="163"/>
      <c r="AQ131" s="163"/>
      <c r="AR131" s="163"/>
      <c r="AS131" s="163"/>
      <c r="AT131" s="163"/>
      <c r="AU131" s="163"/>
      <c r="AV131" s="163"/>
      <c r="AW131" s="163"/>
      <c r="AX131" s="163"/>
      <c r="AY131" s="163"/>
      <c r="AZ131" s="165"/>
      <c r="BA131" s="165"/>
      <c r="BB131" s="165"/>
      <c r="BC131" s="165"/>
      <c r="BD131" s="165"/>
      <c r="BE131" s="165"/>
    </row>
    <row r="132" spans="3:57" ht="15" customHeight="1">
      <c r="C132" s="201" t="s">
        <v>183</v>
      </c>
      <c r="D132" s="202"/>
      <c r="E132" s="197"/>
      <c r="F132" s="198"/>
      <c r="H132" s="51">
        <v>0</v>
      </c>
      <c r="I132" s="51">
        <v>0</v>
      </c>
      <c r="J132" s="51">
        <v>0</v>
      </c>
      <c r="K132" s="51">
        <v>0</v>
      </c>
      <c r="L132" s="51">
        <v>0</v>
      </c>
      <c r="M132" s="217"/>
      <c r="N132" s="292"/>
      <c r="Y132" s="183" t="s">
        <v>21</v>
      </c>
      <c r="Z132" s="184" t="str">
        <f t="shared" si="37"/>
        <v>Health Insurance</v>
      </c>
      <c r="AA132" s="318"/>
      <c r="AB132" s="187">
        <f t="shared" si="38"/>
        <v>0</v>
      </c>
      <c r="AC132" s="187">
        <f t="shared" si="39"/>
        <v>0</v>
      </c>
      <c r="AD132" s="187">
        <f t="shared" si="40"/>
        <v>0</v>
      </c>
      <c r="AE132" s="187">
        <f t="shared" si="41"/>
        <v>0</v>
      </c>
      <c r="AF132" s="187">
        <f t="shared" si="42"/>
        <v>0</v>
      </c>
      <c r="AG132" s="187">
        <f t="shared" si="43"/>
        <v>0</v>
      </c>
      <c r="AH132" s="187">
        <f t="shared" si="44"/>
        <v>0</v>
      </c>
      <c r="AI132" s="187">
        <f t="shared" si="45"/>
        <v>0</v>
      </c>
      <c r="AJ132" s="187">
        <f t="shared" si="46"/>
        <v>0</v>
      </c>
      <c r="AK132" s="187">
        <f t="shared" si="47"/>
        <v>0</v>
      </c>
      <c r="AL132" s="194"/>
      <c r="AM132" s="163"/>
      <c r="AN132" s="163"/>
      <c r="AO132" s="163"/>
      <c r="AP132" s="163"/>
      <c r="AQ132" s="163"/>
      <c r="AR132" s="163"/>
      <c r="AS132" s="163"/>
      <c r="AT132" s="163"/>
      <c r="AU132" s="163"/>
      <c r="AV132" s="163"/>
      <c r="AW132" s="163"/>
      <c r="AX132" s="163"/>
      <c r="AY132" s="163"/>
      <c r="AZ132" s="165"/>
      <c r="BA132" s="165"/>
      <c r="BB132" s="165"/>
      <c r="BC132" s="165"/>
      <c r="BD132" s="165"/>
      <c r="BE132" s="165"/>
    </row>
    <row r="133" spans="3:57" ht="15" customHeight="1">
      <c r="C133" s="201" t="s">
        <v>184</v>
      </c>
      <c r="D133" s="202"/>
      <c r="E133" s="197"/>
      <c r="F133" s="198"/>
      <c r="H133" s="51">
        <v>0</v>
      </c>
      <c r="I133" s="51">
        <v>0</v>
      </c>
      <c r="J133" s="51">
        <v>0</v>
      </c>
      <c r="K133" s="51">
        <v>0</v>
      </c>
      <c r="L133" s="51">
        <v>0</v>
      </c>
      <c r="M133" s="217"/>
      <c r="N133" s="292"/>
      <c r="Y133" s="183" t="s">
        <v>21</v>
      </c>
      <c r="Z133" s="184" t="str">
        <f t="shared" si="37"/>
        <v>Dental Insurance</v>
      </c>
      <c r="AA133" s="318"/>
      <c r="AB133" s="187">
        <f t="shared" si="38"/>
        <v>0</v>
      </c>
      <c r="AC133" s="187">
        <f t="shared" si="39"/>
        <v>0</v>
      </c>
      <c r="AD133" s="187">
        <f t="shared" si="40"/>
        <v>0</v>
      </c>
      <c r="AE133" s="187">
        <f t="shared" si="41"/>
        <v>0</v>
      </c>
      <c r="AF133" s="187">
        <f t="shared" si="42"/>
        <v>0</v>
      </c>
      <c r="AG133" s="187">
        <f t="shared" si="43"/>
        <v>0</v>
      </c>
      <c r="AH133" s="187">
        <f t="shared" si="44"/>
        <v>0</v>
      </c>
      <c r="AI133" s="187">
        <f t="shared" si="45"/>
        <v>0</v>
      </c>
      <c r="AJ133" s="187">
        <f t="shared" si="46"/>
        <v>0</v>
      </c>
      <c r="AK133" s="187">
        <f t="shared" si="47"/>
        <v>0</v>
      </c>
      <c r="AL133" s="194"/>
      <c r="AM133" s="163"/>
      <c r="AN133" s="163"/>
      <c r="AO133" s="163"/>
      <c r="AP133" s="163"/>
      <c r="AQ133" s="163"/>
      <c r="AR133" s="163"/>
      <c r="AS133" s="163"/>
      <c r="AT133" s="163"/>
      <c r="AU133" s="163"/>
      <c r="AV133" s="163"/>
      <c r="AW133" s="163"/>
      <c r="AX133" s="163"/>
      <c r="AY133" s="163"/>
      <c r="AZ133" s="165"/>
      <c r="BA133" s="165"/>
      <c r="BB133" s="165"/>
      <c r="BC133" s="165"/>
      <c r="BD133" s="165"/>
      <c r="BE133" s="165"/>
    </row>
    <row r="134" spans="3:57" ht="15" customHeight="1">
      <c r="C134" s="201" t="s">
        <v>185</v>
      </c>
      <c r="D134" s="202"/>
      <c r="E134" s="197"/>
      <c r="F134" s="198"/>
      <c r="H134" s="51">
        <v>0</v>
      </c>
      <c r="I134" s="51">
        <v>0</v>
      </c>
      <c r="J134" s="51">
        <v>0</v>
      </c>
      <c r="K134" s="51">
        <v>0</v>
      </c>
      <c r="L134" s="51">
        <v>0</v>
      </c>
      <c r="M134" s="217"/>
      <c r="N134" s="292"/>
      <c r="Y134" s="183" t="s">
        <v>21</v>
      </c>
      <c r="Z134" s="184" t="str">
        <f t="shared" si="37"/>
        <v>Vision Insurance</v>
      </c>
      <c r="AA134" s="318"/>
      <c r="AB134" s="187">
        <f t="shared" si="38"/>
        <v>0</v>
      </c>
      <c r="AC134" s="187">
        <f t="shared" si="39"/>
        <v>0</v>
      </c>
      <c r="AD134" s="187">
        <f t="shared" si="40"/>
        <v>0</v>
      </c>
      <c r="AE134" s="187">
        <f t="shared" si="41"/>
        <v>0</v>
      </c>
      <c r="AF134" s="187">
        <f t="shared" si="42"/>
        <v>0</v>
      </c>
      <c r="AG134" s="187">
        <f t="shared" si="43"/>
        <v>0</v>
      </c>
      <c r="AH134" s="187">
        <f t="shared" si="44"/>
        <v>0</v>
      </c>
      <c r="AI134" s="187">
        <f t="shared" si="45"/>
        <v>0</v>
      </c>
      <c r="AJ134" s="187">
        <f t="shared" si="46"/>
        <v>0</v>
      </c>
      <c r="AK134" s="187">
        <f t="shared" si="47"/>
        <v>0</v>
      </c>
      <c r="AL134" s="194"/>
      <c r="AM134" s="163"/>
      <c r="AN134" s="163"/>
      <c r="AO134" s="163"/>
      <c r="AP134" s="163"/>
      <c r="AQ134" s="163"/>
      <c r="AR134" s="163"/>
      <c r="AS134" s="163"/>
      <c r="AT134" s="163"/>
      <c r="AU134" s="163"/>
      <c r="AV134" s="163"/>
      <c r="AW134" s="163"/>
      <c r="AX134" s="163"/>
      <c r="AY134" s="163"/>
      <c r="AZ134" s="165"/>
      <c r="BA134" s="165"/>
      <c r="BB134" s="165"/>
      <c r="BC134" s="165"/>
      <c r="BD134" s="165"/>
      <c r="BE134" s="165"/>
    </row>
    <row r="135" spans="3:57" ht="15" customHeight="1">
      <c r="C135" s="201" t="s">
        <v>186</v>
      </c>
      <c r="D135" s="202"/>
      <c r="E135" s="197"/>
      <c r="F135" s="198"/>
      <c r="H135" s="51">
        <v>0</v>
      </c>
      <c r="I135" s="51">
        <v>0</v>
      </c>
      <c r="J135" s="51">
        <v>0</v>
      </c>
      <c r="K135" s="51">
        <v>0</v>
      </c>
      <c r="L135" s="51">
        <v>0</v>
      </c>
      <c r="M135" s="217"/>
      <c r="N135" s="292"/>
      <c r="Y135" s="183" t="s">
        <v>21</v>
      </c>
      <c r="Z135" s="184" t="str">
        <f t="shared" si="37"/>
        <v>Life Insurance</v>
      </c>
      <c r="AA135" s="318"/>
      <c r="AB135" s="187">
        <f t="shared" si="38"/>
        <v>0</v>
      </c>
      <c r="AC135" s="187">
        <f t="shared" si="39"/>
        <v>0</v>
      </c>
      <c r="AD135" s="187">
        <f t="shared" si="40"/>
        <v>0</v>
      </c>
      <c r="AE135" s="187">
        <f t="shared" si="41"/>
        <v>0</v>
      </c>
      <c r="AF135" s="187">
        <f t="shared" si="42"/>
        <v>0</v>
      </c>
      <c r="AG135" s="187">
        <f t="shared" si="43"/>
        <v>0</v>
      </c>
      <c r="AH135" s="187">
        <f t="shared" si="44"/>
        <v>0</v>
      </c>
      <c r="AI135" s="187">
        <f t="shared" si="45"/>
        <v>0</v>
      </c>
      <c r="AJ135" s="187">
        <f t="shared" si="46"/>
        <v>0</v>
      </c>
      <c r="AK135" s="187">
        <f t="shared" si="47"/>
        <v>0</v>
      </c>
      <c r="AL135" s="194"/>
      <c r="AM135" s="163"/>
      <c r="AN135" s="163"/>
      <c r="AO135" s="163"/>
      <c r="AP135" s="163"/>
      <c r="AQ135" s="163"/>
      <c r="AR135" s="163"/>
      <c r="AS135" s="163"/>
      <c r="AT135" s="163"/>
      <c r="AU135" s="163"/>
      <c r="AV135" s="163"/>
      <c r="AW135" s="163"/>
      <c r="AX135" s="163"/>
      <c r="AY135" s="163"/>
      <c r="AZ135" s="165"/>
      <c r="BA135" s="165"/>
      <c r="BB135" s="165"/>
      <c r="BC135" s="165"/>
      <c r="BD135" s="165"/>
      <c r="BE135" s="165"/>
    </row>
    <row r="136" spans="3:57" ht="15" customHeight="1">
      <c r="C136" s="201" t="s">
        <v>194</v>
      </c>
      <c r="D136" s="202"/>
      <c r="E136" s="197"/>
      <c r="F136" s="203"/>
      <c r="H136" s="51">
        <v>0</v>
      </c>
      <c r="I136" s="51">
        <v>0</v>
      </c>
      <c r="J136" s="51">
        <v>0</v>
      </c>
      <c r="K136" s="51">
        <v>0</v>
      </c>
      <c r="L136" s="51">
        <v>0</v>
      </c>
      <c r="M136" s="217"/>
      <c r="N136" s="292"/>
      <c r="Y136" s="183" t="s">
        <v>21</v>
      </c>
      <c r="Z136" s="184" t="str">
        <f t="shared" si="37"/>
        <v>Retirement Contribution</v>
      </c>
      <c r="AA136" s="318"/>
      <c r="AB136" s="187">
        <f t="shared" si="38"/>
        <v>0</v>
      </c>
      <c r="AC136" s="187">
        <f t="shared" si="39"/>
        <v>0</v>
      </c>
      <c r="AD136" s="187">
        <f t="shared" si="40"/>
        <v>0</v>
      </c>
      <c r="AE136" s="187">
        <f t="shared" si="41"/>
        <v>0</v>
      </c>
      <c r="AF136" s="187">
        <f t="shared" si="42"/>
        <v>0</v>
      </c>
      <c r="AG136" s="187">
        <f t="shared" si="43"/>
        <v>0</v>
      </c>
      <c r="AH136" s="187">
        <f t="shared" si="44"/>
        <v>0</v>
      </c>
      <c r="AI136" s="187">
        <f t="shared" si="45"/>
        <v>0</v>
      </c>
      <c r="AJ136" s="187">
        <f t="shared" si="46"/>
        <v>0</v>
      </c>
      <c r="AK136" s="187">
        <f t="shared" si="47"/>
        <v>0</v>
      </c>
      <c r="AL136" s="194"/>
      <c r="AM136" s="163"/>
      <c r="AN136" s="163"/>
      <c r="AO136" s="163"/>
      <c r="AP136" s="163"/>
      <c r="AQ136" s="163"/>
      <c r="AR136" s="163"/>
      <c r="AS136" s="163"/>
      <c r="AT136" s="163"/>
      <c r="AU136" s="163"/>
      <c r="AV136" s="163"/>
      <c r="AW136" s="163"/>
      <c r="AX136" s="163"/>
      <c r="AY136" s="163"/>
      <c r="AZ136" s="165"/>
      <c r="BA136" s="165"/>
      <c r="BB136" s="165"/>
      <c r="BC136" s="165"/>
      <c r="BD136" s="165"/>
      <c r="BE136" s="165"/>
    </row>
    <row r="137" spans="3:57" ht="15" customHeight="1">
      <c r="C137" s="211" t="s">
        <v>187</v>
      </c>
      <c r="D137" s="202"/>
      <c r="E137" s="197"/>
      <c r="F137" s="203"/>
      <c r="H137" s="51">
        <v>0</v>
      </c>
      <c r="I137" s="51">
        <v>0</v>
      </c>
      <c r="J137" s="51">
        <v>0</v>
      </c>
      <c r="K137" s="51">
        <v>0</v>
      </c>
      <c r="L137" s="51">
        <v>0</v>
      </c>
      <c r="M137" s="217"/>
      <c r="N137" s="292"/>
      <c r="Y137" s="183" t="s">
        <v>21</v>
      </c>
      <c r="Z137" s="184" t="str">
        <f t="shared" si="37"/>
        <v>Custom Fringe #1</v>
      </c>
      <c r="AA137" s="318"/>
      <c r="AB137" s="187">
        <f t="shared" si="38"/>
        <v>0</v>
      </c>
      <c r="AC137" s="187">
        <f t="shared" si="39"/>
        <v>0</v>
      </c>
      <c r="AD137" s="187">
        <f t="shared" si="40"/>
        <v>0</v>
      </c>
      <c r="AE137" s="187">
        <f t="shared" si="41"/>
        <v>0</v>
      </c>
      <c r="AF137" s="187">
        <f t="shared" si="42"/>
        <v>0</v>
      </c>
      <c r="AG137" s="187">
        <f t="shared" si="43"/>
        <v>0</v>
      </c>
      <c r="AH137" s="187">
        <f t="shared" si="44"/>
        <v>0</v>
      </c>
      <c r="AI137" s="187">
        <f t="shared" si="45"/>
        <v>0</v>
      </c>
      <c r="AJ137" s="187">
        <f t="shared" si="46"/>
        <v>0</v>
      </c>
      <c r="AK137" s="187">
        <f t="shared" si="47"/>
        <v>0</v>
      </c>
      <c r="AL137" s="194"/>
      <c r="AM137" s="163"/>
      <c r="AN137" s="163"/>
      <c r="AO137" s="163"/>
      <c r="AP137" s="163"/>
      <c r="AQ137" s="163"/>
      <c r="AR137" s="163"/>
      <c r="AS137" s="163"/>
      <c r="AT137" s="163"/>
      <c r="AU137" s="163"/>
      <c r="AV137" s="163"/>
      <c r="AW137" s="163"/>
      <c r="AX137" s="163"/>
      <c r="AY137" s="163"/>
      <c r="AZ137" s="165"/>
      <c r="BA137" s="165"/>
      <c r="BB137" s="165"/>
      <c r="BC137" s="165"/>
      <c r="BD137" s="165"/>
      <c r="BE137" s="165"/>
    </row>
    <row r="138" spans="3:57" ht="15" customHeight="1">
      <c r="C138" s="211" t="s">
        <v>188</v>
      </c>
      <c r="D138" s="202"/>
      <c r="E138" s="197"/>
      <c r="F138" s="198"/>
      <c r="H138" s="51">
        <v>0</v>
      </c>
      <c r="I138" s="51">
        <v>0</v>
      </c>
      <c r="J138" s="51">
        <v>0</v>
      </c>
      <c r="K138" s="51">
        <v>0</v>
      </c>
      <c r="L138" s="51">
        <v>0</v>
      </c>
      <c r="M138" s="217"/>
      <c r="N138" s="292"/>
      <c r="Y138" s="183" t="s">
        <v>21</v>
      </c>
      <c r="Z138" s="184" t="str">
        <f t="shared" si="37"/>
        <v>Custom Fringe #2</v>
      </c>
      <c r="AA138" s="318"/>
      <c r="AB138" s="187">
        <f t="shared" si="38"/>
        <v>0</v>
      </c>
      <c r="AC138" s="187">
        <f t="shared" si="39"/>
        <v>0</v>
      </c>
      <c r="AD138" s="187">
        <f t="shared" si="40"/>
        <v>0</v>
      </c>
      <c r="AE138" s="187">
        <f t="shared" si="41"/>
        <v>0</v>
      </c>
      <c r="AF138" s="187">
        <f t="shared" si="42"/>
        <v>0</v>
      </c>
      <c r="AG138" s="187">
        <f t="shared" si="43"/>
        <v>0</v>
      </c>
      <c r="AH138" s="187">
        <f t="shared" si="44"/>
        <v>0</v>
      </c>
      <c r="AI138" s="187">
        <f t="shared" si="45"/>
        <v>0</v>
      </c>
      <c r="AJ138" s="187">
        <f t="shared" si="46"/>
        <v>0</v>
      </c>
      <c r="AK138" s="187">
        <f t="shared" si="47"/>
        <v>0</v>
      </c>
      <c r="AL138" s="194"/>
      <c r="AM138" s="163"/>
      <c r="AN138" s="163"/>
      <c r="AO138" s="163"/>
      <c r="AP138" s="163"/>
      <c r="AQ138" s="163"/>
      <c r="AR138" s="163"/>
      <c r="AS138" s="163"/>
      <c r="AT138" s="163"/>
      <c r="AU138" s="163"/>
      <c r="AV138" s="163"/>
      <c r="AW138" s="163"/>
      <c r="AX138" s="163"/>
      <c r="AY138" s="163"/>
      <c r="AZ138" s="165"/>
      <c r="BA138" s="165"/>
      <c r="BB138" s="165"/>
      <c r="BC138" s="165"/>
      <c r="BD138" s="165"/>
      <c r="BE138" s="165"/>
    </row>
    <row r="139" spans="3:57" ht="15" customHeight="1">
      <c r="C139" s="196" t="str">
        <f>"TOTAL "&amp;C125</f>
        <v>TOTAL PAYROLL TAXES AND BENEFITS</v>
      </c>
      <c r="D139" s="202"/>
      <c r="E139" s="193"/>
      <c r="F139" s="193"/>
      <c r="H139" s="193"/>
      <c r="I139" s="193"/>
      <c r="J139" s="193"/>
      <c r="K139" s="193"/>
      <c r="L139" s="193"/>
      <c r="M139" s="217"/>
      <c r="N139" s="292"/>
      <c r="Y139" s="183" t="s">
        <v>21</v>
      </c>
      <c r="Z139" s="184" t="str">
        <f t="shared" si="37"/>
        <v>TOTAL PAYROLL TAXES AND BENEFITS</v>
      </c>
      <c r="AA139" s="318"/>
      <c r="AB139" s="187">
        <f t="shared" si="38"/>
        <v>0</v>
      </c>
      <c r="AC139" s="187">
        <f t="shared" si="39"/>
        <v>0</v>
      </c>
      <c r="AD139" s="187">
        <f t="shared" si="40"/>
        <v>0</v>
      </c>
      <c r="AE139" s="187">
        <f t="shared" si="41"/>
        <v>0</v>
      </c>
      <c r="AF139" s="187">
        <f t="shared" si="42"/>
        <v>0</v>
      </c>
      <c r="AG139" s="187">
        <f t="shared" si="43"/>
        <v>0</v>
      </c>
      <c r="AH139" s="187">
        <f t="shared" si="44"/>
        <v>0</v>
      </c>
      <c r="AI139" s="187">
        <f t="shared" si="45"/>
        <v>0</v>
      </c>
      <c r="AJ139" s="187">
        <f t="shared" si="46"/>
        <v>0</v>
      </c>
      <c r="AK139" s="187">
        <f t="shared" si="47"/>
        <v>0</v>
      </c>
      <c r="AL139" s="194"/>
      <c r="AM139" s="163"/>
      <c r="AN139" s="163"/>
      <c r="AO139" s="163"/>
      <c r="AP139" s="163"/>
      <c r="AQ139" s="163"/>
      <c r="AR139" s="163"/>
      <c r="AS139" s="163"/>
      <c r="AT139" s="163"/>
      <c r="AU139" s="163"/>
      <c r="AV139" s="163"/>
      <c r="AW139" s="163"/>
      <c r="AX139" s="163"/>
      <c r="AY139" s="163"/>
      <c r="AZ139" s="165"/>
      <c r="BA139" s="165"/>
      <c r="BB139" s="165"/>
      <c r="BC139" s="165"/>
      <c r="BD139" s="165"/>
      <c r="BE139" s="165"/>
    </row>
    <row r="140" spans="3:57" ht="6" customHeight="1">
      <c r="C140" s="196"/>
      <c r="D140" s="202"/>
      <c r="E140" s="193"/>
      <c r="F140" s="193"/>
      <c r="H140" s="193"/>
      <c r="I140" s="193"/>
      <c r="J140" s="193"/>
      <c r="K140" s="193"/>
      <c r="L140" s="193"/>
      <c r="M140" s="217"/>
      <c r="N140" s="352"/>
      <c r="Y140" s="183" t="s">
        <v>21</v>
      </c>
      <c r="Z140" s="184">
        <f t="shared" si="37"/>
        <v>0</v>
      </c>
      <c r="AA140" s="318"/>
      <c r="AB140" s="187">
        <f t="shared" si="38"/>
        <v>0</v>
      </c>
      <c r="AC140" s="187">
        <f t="shared" si="39"/>
        <v>0</v>
      </c>
      <c r="AD140" s="187">
        <f t="shared" si="40"/>
        <v>0</v>
      </c>
      <c r="AE140" s="187">
        <f t="shared" si="41"/>
        <v>0</v>
      </c>
      <c r="AF140" s="187">
        <f t="shared" si="42"/>
        <v>0</v>
      </c>
      <c r="AG140" s="187">
        <f t="shared" si="43"/>
        <v>0</v>
      </c>
      <c r="AH140" s="187">
        <f t="shared" si="44"/>
        <v>0</v>
      </c>
      <c r="AI140" s="187">
        <f t="shared" si="45"/>
        <v>0</v>
      </c>
      <c r="AJ140" s="187">
        <f t="shared" si="46"/>
        <v>0</v>
      </c>
      <c r="AK140" s="187">
        <f t="shared" si="47"/>
        <v>0</v>
      </c>
      <c r="AL140" s="194"/>
      <c r="AM140" s="163"/>
      <c r="AN140" s="163"/>
      <c r="AO140" s="163"/>
      <c r="AP140" s="163"/>
      <c r="AQ140" s="163"/>
      <c r="AR140" s="163"/>
      <c r="AS140" s="163"/>
      <c r="AT140" s="163"/>
      <c r="AU140" s="163"/>
      <c r="AV140" s="163"/>
      <c r="AW140" s="163"/>
      <c r="AX140" s="163"/>
      <c r="AY140" s="163"/>
      <c r="AZ140" s="165"/>
      <c r="BA140" s="165"/>
      <c r="BB140" s="165"/>
      <c r="BC140" s="165"/>
      <c r="BD140" s="165"/>
      <c r="BE140" s="165"/>
    </row>
    <row r="141" spans="3:57" ht="15" customHeight="1">
      <c r="C141" s="196" t="s">
        <v>177</v>
      </c>
      <c r="D141" s="202"/>
      <c r="E141" s="193"/>
      <c r="F141" s="193"/>
      <c r="H141" s="193"/>
      <c r="I141" s="193"/>
      <c r="J141" s="193"/>
      <c r="K141" s="193"/>
      <c r="L141" s="193"/>
      <c r="M141" s="217"/>
      <c r="N141" s="292"/>
      <c r="Y141" s="183" t="s">
        <v>21</v>
      </c>
      <c r="Z141" s="184" t="str">
        <f t="shared" si="37"/>
        <v>TOTAL PERSONNEL, TAX &amp; BENEFIT EXPENSES</v>
      </c>
      <c r="AA141" s="318"/>
      <c r="AB141" s="187">
        <f t="shared" si="38"/>
        <v>0</v>
      </c>
      <c r="AC141" s="187">
        <f t="shared" si="39"/>
        <v>0</v>
      </c>
      <c r="AD141" s="187">
        <f t="shared" si="40"/>
        <v>0</v>
      </c>
      <c r="AE141" s="187">
        <f t="shared" si="41"/>
        <v>0</v>
      </c>
      <c r="AF141" s="187">
        <f t="shared" si="42"/>
        <v>0</v>
      </c>
      <c r="AG141" s="187">
        <f t="shared" si="43"/>
        <v>0</v>
      </c>
      <c r="AH141" s="187">
        <f t="shared" si="44"/>
        <v>0</v>
      </c>
      <c r="AI141" s="187">
        <f t="shared" si="45"/>
        <v>0</v>
      </c>
      <c r="AJ141" s="187">
        <f t="shared" si="46"/>
        <v>0</v>
      </c>
      <c r="AK141" s="187">
        <f t="shared" si="47"/>
        <v>0</v>
      </c>
      <c r="AL141" s="194"/>
      <c r="AM141" s="163"/>
      <c r="AN141" s="163"/>
      <c r="AO141" s="163"/>
      <c r="AP141" s="163"/>
      <c r="AQ141" s="163"/>
      <c r="AR141" s="163"/>
      <c r="AS141" s="163"/>
      <c r="AT141" s="163"/>
      <c r="AU141" s="163"/>
      <c r="AV141" s="163"/>
      <c r="AW141" s="163"/>
      <c r="AX141" s="163"/>
      <c r="AY141" s="163"/>
      <c r="AZ141" s="165"/>
      <c r="BA141" s="165"/>
      <c r="BB141" s="165"/>
      <c r="BC141" s="165"/>
      <c r="BD141" s="165"/>
      <c r="BE141" s="165"/>
    </row>
    <row r="142" spans="3:57" ht="15" customHeight="1">
      <c r="C142" s="81"/>
      <c r="D142" s="202"/>
      <c r="E142" s="193"/>
      <c r="F142" s="193"/>
      <c r="H142" s="393" t="s">
        <v>198</v>
      </c>
      <c r="I142" s="394"/>
      <c r="J142" s="394"/>
      <c r="K142" s="394"/>
      <c r="L142" s="395"/>
      <c r="M142" s="217"/>
      <c r="N142" s="352"/>
      <c r="Y142" s="183" t="s">
        <v>21</v>
      </c>
      <c r="Z142" s="184">
        <f t="shared" si="37"/>
        <v>0</v>
      </c>
      <c r="AA142" s="318"/>
      <c r="AB142" s="187" t="e">
        <f t="shared" ref="AB142:AB143" si="58">F142+SUM(F142*H142)</f>
        <v>#VALUE!</v>
      </c>
      <c r="AC142" s="187" t="e">
        <f t="shared" ref="AC142:AC143" si="59">AB142+SUM(AB142*I142)</f>
        <v>#VALUE!</v>
      </c>
      <c r="AD142" s="187" t="e">
        <f t="shared" ref="AD142:AD143" si="60">AC142+SUM(AC142*J142)</f>
        <v>#VALUE!</v>
      </c>
      <c r="AE142" s="187" t="e">
        <f t="shared" ref="AE142:AE143" si="61">AD142+SUM(AD142*K142)</f>
        <v>#VALUE!</v>
      </c>
      <c r="AF142" s="187" t="e">
        <f t="shared" ref="AF142:AF143" si="62">AE142+SUM(AE142*L142)</f>
        <v>#VALUE!</v>
      </c>
      <c r="AG142" s="187" t="e">
        <f t="shared" ref="AG142:AG143" si="63">AF142+SUM(AF142*M142)</f>
        <v>#VALUE!</v>
      </c>
      <c r="AH142" s="187" t="e">
        <f t="shared" ref="AH142:AH143" si="64">AG142+SUM(AG142*N142)</f>
        <v>#VALUE!</v>
      </c>
      <c r="AI142" s="187" t="e">
        <f t="shared" ref="AI142:AI143" si="65">AH142+SUM(AH142*O142)</f>
        <v>#VALUE!</v>
      </c>
      <c r="AJ142" s="187" t="e">
        <f t="shared" ref="AJ142:AJ143" si="66">AI142+SUM(AI142*P142)</f>
        <v>#VALUE!</v>
      </c>
      <c r="AK142" s="187" t="e">
        <f t="shared" ref="AK142:AK143" si="67">AJ142+SUM(AJ142*Q142)</f>
        <v>#VALUE!</v>
      </c>
      <c r="AL142" s="194"/>
      <c r="AM142" s="163"/>
      <c r="AN142" s="163"/>
      <c r="AO142" s="163"/>
      <c r="AP142" s="163"/>
      <c r="AQ142" s="163"/>
      <c r="AR142" s="163"/>
      <c r="AS142" s="163"/>
      <c r="AT142" s="163"/>
      <c r="AU142" s="163"/>
      <c r="AV142" s="163"/>
      <c r="AW142" s="163"/>
      <c r="AX142" s="163"/>
      <c r="AY142" s="163"/>
      <c r="AZ142" s="165"/>
      <c r="BA142" s="165"/>
      <c r="BB142" s="165"/>
      <c r="BC142" s="165"/>
      <c r="BD142" s="165"/>
      <c r="BE142" s="165"/>
    </row>
    <row r="143" spans="3:57" ht="15" customHeight="1">
      <c r="C143" s="230" t="s">
        <v>53</v>
      </c>
      <c r="D143" s="193"/>
      <c r="E143" s="193"/>
      <c r="F143" s="193"/>
      <c r="H143" s="396"/>
      <c r="I143" s="397"/>
      <c r="J143" s="397"/>
      <c r="K143" s="397"/>
      <c r="L143" s="398"/>
      <c r="M143" s="217"/>
      <c r="N143" s="292"/>
      <c r="Y143" s="183" t="s">
        <v>21</v>
      </c>
      <c r="Z143" s="184" t="str">
        <f t="shared" si="37"/>
        <v>CONTRACTED SERVICES</v>
      </c>
      <c r="AA143" s="318"/>
      <c r="AB143" s="187">
        <f t="shared" si="58"/>
        <v>0</v>
      </c>
      <c r="AC143" s="187">
        <f t="shared" si="59"/>
        <v>0</v>
      </c>
      <c r="AD143" s="187">
        <f t="shared" si="60"/>
        <v>0</v>
      </c>
      <c r="AE143" s="187">
        <f t="shared" si="61"/>
        <v>0</v>
      </c>
      <c r="AF143" s="187">
        <f t="shared" si="62"/>
        <v>0</v>
      </c>
      <c r="AG143" s="187">
        <f t="shared" si="63"/>
        <v>0</v>
      </c>
      <c r="AH143" s="187">
        <f t="shared" si="64"/>
        <v>0</v>
      </c>
      <c r="AI143" s="187">
        <f t="shared" si="65"/>
        <v>0</v>
      </c>
      <c r="AJ143" s="187">
        <f t="shared" si="66"/>
        <v>0</v>
      </c>
      <c r="AK143" s="187">
        <f t="shared" si="67"/>
        <v>0</v>
      </c>
      <c r="AL143" s="194"/>
      <c r="AM143" s="163"/>
      <c r="AN143" s="163"/>
      <c r="AO143" s="163"/>
      <c r="AP143" s="163"/>
      <c r="AQ143" s="163"/>
      <c r="AR143" s="163"/>
      <c r="AS143" s="163"/>
      <c r="AT143" s="163"/>
      <c r="AU143" s="163"/>
      <c r="AV143" s="163"/>
      <c r="AW143" s="163"/>
      <c r="AX143" s="163"/>
      <c r="AY143" s="163"/>
      <c r="AZ143" s="165"/>
      <c r="BA143" s="165"/>
      <c r="BB143" s="165"/>
      <c r="BC143" s="165"/>
      <c r="BD143" s="165"/>
      <c r="BE143" s="165"/>
    </row>
    <row r="144" spans="3:57" ht="15" customHeight="1">
      <c r="C144" s="204" t="s">
        <v>54</v>
      </c>
      <c r="D144" s="193"/>
      <c r="E144" s="3"/>
      <c r="F144" s="1">
        <v>0</v>
      </c>
      <c r="H144" s="51">
        <v>0</v>
      </c>
      <c r="I144" s="51">
        <v>0</v>
      </c>
      <c r="J144" s="51">
        <v>0</v>
      </c>
      <c r="K144" s="51">
        <v>0</v>
      </c>
      <c r="L144" s="51">
        <v>0</v>
      </c>
      <c r="M144" s="217"/>
      <c r="N144" s="292"/>
      <c r="Y144" s="183" t="s">
        <v>21</v>
      </c>
      <c r="Z144" s="184" t="str">
        <f t="shared" si="37"/>
        <v xml:space="preserve">Accounting / Audit </v>
      </c>
      <c r="AA144" s="318"/>
      <c r="AB144" s="187">
        <f t="shared" si="38"/>
        <v>0</v>
      </c>
      <c r="AC144" s="187">
        <f t="shared" si="39"/>
        <v>0</v>
      </c>
      <c r="AD144" s="187">
        <f t="shared" si="40"/>
        <v>0</v>
      </c>
      <c r="AE144" s="187">
        <f t="shared" si="41"/>
        <v>0</v>
      </c>
      <c r="AF144" s="187">
        <f t="shared" si="42"/>
        <v>0</v>
      </c>
      <c r="AG144" s="187">
        <f t="shared" si="43"/>
        <v>0</v>
      </c>
      <c r="AH144" s="187">
        <f t="shared" si="44"/>
        <v>0</v>
      </c>
      <c r="AI144" s="187">
        <f t="shared" si="45"/>
        <v>0</v>
      </c>
      <c r="AJ144" s="187">
        <f t="shared" si="46"/>
        <v>0</v>
      </c>
      <c r="AK144" s="187">
        <f t="shared" si="47"/>
        <v>0</v>
      </c>
      <c r="AL144" s="194"/>
      <c r="AM144" s="163"/>
      <c r="AN144" s="163"/>
      <c r="AO144" s="163"/>
      <c r="AP144" s="163"/>
      <c r="AQ144" s="163"/>
      <c r="AR144" s="163"/>
      <c r="AS144" s="163"/>
      <c r="AT144" s="163"/>
      <c r="AU144" s="163"/>
      <c r="AV144" s="163"/>
      <c r="AW144" s="163"/>
      <c r="AX144" s="163"/>
      <c r="AY144" s="163"/>
      <c r="AZ144" s="165"/>
      <c r="BA144" s="165"/>
      <c r="BB144" s="165"/>
      <c r="BC144" s="165"/>
      <c r="BD144" s="165"/>
      <c r="BE144" s="165"/>
    </row>
    <row r="145" spans="3:57" ht="15" customHeight="1">
      <c r="C145" s="204" t="s">
        <v>55</v>
      </c>
      <c r="D145" s="193"/>
      <c r="E145" s="3"/>
      <c r="F145" s="1">
        <v>0</v>
      </c>
      <c r="H145" s="51">
        <v>0</v>
      </c>
      <c r="I145" s="51">
        <v>0</v>
      </c>
      <c r="J145" s="51">
        <v>0</v>
      </c>
      <c r="K145" s="51">
        <v>0</v>
      </c>
      <c r="L145" s="51">
        <v>0</v>
      </c>
      <c r="M145" s="217"/>
      <c r="N145" s="292"/>
      <c r="Y145" s="183" t="s">
        <v>21</v>
      </c>
      <c r="Z145" s="184" t="str">
        <f t="shared" si="37"/>
        <v>Legal</v>
      </c>
      <c r="AA145" s="318"/>
      <c r="AB145" s="187">
        <f t="shared" si="38"/>
        <v>0</v>
      </c>
      <c r="AC145" s="187">
        <f t="shared" si="39"/>
        <v>0</v>
      </c>
      <c r="AD145" s="187">
        <f t="shared" si="40"/>
        <v>0</v>
      </c>
      <c r="AE145" s="187">
        <f t="shared" si="41"/>
        <v>0</v>
      </c>
      <c r="AF145" s="187">
        <f t="shared" si="42"/>
        <v>0</v>
      </c>
      <c r="AG145" s="187">
        <f t="shared" si="43"/>
        <v>0</v>
      </c>
      <c r="AH145" s="187">
        <f t="shared" si="44"/>
        <v>0</v>
      </c>
      <c r="AI145" s="187">
        <f t="shared" si="45"/>
        <v>0</v>
      </c>
      <c r="AJ145" s="187">
        <f t="shared" si="46"/>
        <v>0</v>
      </c>
      <c r="AK145" s="187">
        <f t="shared" si="47"/>
        <v>0</v>
      </c>
      <c r="AL145" s="194"/>
      <c r="AM145" s="163"/>
      <c r="AN145" s="163"/>
      <c r="AO145" s="163"/>
      <c r="AP145" s="163"/>
      <c r="AQ145" s="163"/>
      <c r="AR145" s="163"/>
      <c r="AS145" s="163"/>
      <c r="AT145" s="163"/>
      <c r="AU145" s="163"/>
      <c r="AV145" s="163"/>
      <c r="AW145" s="163"/>
      <c r="AX145" s="163"/>
      <c r="AY145" s="163"/>
      <c r="AZ145" s="165"/>
      <c r="BA145" s="165"/>
      <c r="BB145" s="165"/>
      <c r="BC145" s="165"/>
      <c r="BD145" s="165"/>
      <c r="BE145" s="165"/>
    </row>
    <row r="146" spans="3:57" ht="15" customHeight="1">
      <c r="C146" s="204" t="s">
        <v>276</v>
      </c>
      <c r="D146" s="193"/>
      <c r="E146" s="354">
        <v>3</v>
      </c>
      <c r="F146" s="355">
        <v>0</v>
      </c>
      <c r="H146" s="356">
        <v>0.03</v>
      </c>
      <c r="I146" s="356">
        <v>0.03</v>
      </c>
      <c r="J146" s="356">
        <v>0.03</v>
      </c>
      <c r="K146" s="356">
        <v>0.03</v>
      </c>
      <c r="L146" s="356">
        <v>0.03</v>
      </c>
      <c r="M146" s="217"/>
      <c r="N146" s="358" t="s">
        <v>278</v>
      </c>
      <c r="Y146" s="183" t="s">
        <v>21</v>
      </c>
      <c r="Z146" s="184" t="str">
        <f t="shared" ref="Z146" si="68">C146</f>
        <v>Oversight Fee (3%)</v>
      </c>
      <c r="AA146" s="318"/>
      <c r="AB146" s="187">
        <f t="shared" ref="AB146" si="69">F146+SUM(F146*H146)</f>
        <v>0</v>
      </c>
      <c r="AC146" s="187">
        <f t="shared" ref="AC146" si="70">AB146+SUM(AB146*I146)</f>
        <v>0</v>
      </c>
      <c r="AD146" s="187">
        <f t="shared" ref="AD146" si="71">AC146+SUM(AC146*J146)</f>
        <v>0</v>
      </c>
      <c r="AE146" s="187">
        <f t="shared" ref="AE146" si="72">AD146+SUM(AD146*K146)</f>
        <v>0</v>
      </c>
      <c r="AF146" s="187">
        <f t="shared" ref="AF146" si="73">AE146+SUM(AE146*L146)</f>
        <v>0</v>
      </c>
      <c r="AG146" s="187">
        <f t="shared" ref="AG146" si="74">AF146+SUM(AF146*M146)</f>
        <v>0</v>
      </c>
      <c r="AH146" s="187" t="e">
        <f t="shared" ref="AH146" si="75">AG146+SUM(AG146*N146)</f>
        <v>#VALUE!</v>
      </c>
      <c r="AI146" s="187" t="e">
        <f t="shared" ref="AI146" si="76">AH146+SUM(AH146*O146)</f>
        <v>#VALUE!</v>
      </c>
      <c r="AJ146" s="187" t="e">
        <f t="shared" ref="AJ146" si="77">AI146+SUM(AI146*P146)</f>
        <v>#VALUE!</v>
      </c>
      <c r="AK146" s="187" t="e">
        <f t="shared" ref="AK146" si="78">AJ146+SUM(AJ146*Q146)</f>
        <v>#VALUE!</v>
      </c>
      <c r="AL146" s="194"/>
      <c r="AM146" s="163"/>
      <c r="AN146" s="163"/>
      <c r="AO146" s="163"/>
      <c r="AP146" s="163"/>
      <c r="AQ146" s="163"/>
      <c r="AR146" s="163"/>
      <c r="AS146" s="163"/>
      <c r="AT146" s="163"/>
      <c r="AU146" s="163"/>
      <c r="AV146" s="163"/>
      <c r="AW146" s="163"/>
      <c r="AX146" s="163"/>
      <c r="AY146" s="163"/>
      <c r="AZ146" s="165"/>
      <c r="BA146" s="165"/>
      <c r="BB146" s="165"/>
      <c r="BC146" s="165"/>
      <c r="BD146" s="165"/>
      <c r="BE146" s="165"/>
    </row>
    <row r="147" spans="3:57" ht="15" customHeight="1">
      <c r="C147" s="204" t="s">
        <v>56</v>
      </c>
      <c r="D147" s="193"/>
      <c r="E147" s="3"/>
      <c r="F147" s="1">
        <v>0</v>
      </c>
      <c r="H147" s="51">
        <v>0</v>
      </c>
      <c r="I147" s="51">
        <v>0</v>
      </c>
      <c r="J147" s="51">
        <v>0</v>
      </c>
      <c r="K147" s="51">
        <v>0</v>
      </c>
      <c r="L147" s="51">
        <v>0</v>
      </c>
      <c r="M147" s="217"/>
      <c r="N147" s="292"/>
      <c r="Y147" s="183" t="s">
        <v>21</v>
      </c>
      <c r="Z147" s="184" t="str">
        <f t="shared" si="37"/>
        <v>Management Company Fee</v>
      </c>
      <c r="AA147" s="318"/>
      <c r="AB147" s="187">
        <f t="shared" si="38"/>
        <v>0</v>
      </c>
      <c r="AC147" s="187">
        <f t="shared" si="39"/>
        <v>0</v>
      </c>
      <c r="AD147" s="187">
        <f t="shared" si="40"/>
        <v>0</v>
      </c>
      <c r="AE147" s="187">
        <f t="shared" si="41"/>
        <v>0</v>
      </c>
      <c r="AF147" s="187">
        <f t="shared" si="42"/>
        <v>0</v>
      </c>
      <c r="AG147" s="187">
        <f t="shared" si="43"/>
        <v>0</v>
      </c>
      <c r="AH147" s="187">
        <f t="shared" si="44"/>
        <v>0</v>
      </c>
      <c r="AI147" s="187">
        <f t="shared" si="45"/>
        <v>0</v>
      </c>
      <c r="AJ147" s="187">
        <f t="shared" si="46"/>
        <v>0</v>
      </c>
      <c r="AK147" s="187">
        <f t="shared" si="47"/>
        <v>0</v>
      </c>
      <c r="AL147" s="194"/>
      <c r="AM147" s="163"/>
      <c r="AN147" s="163"/>
      <c r="AO147" s="163"/>
      <c r="AP147" s="163"/>
      <c r="AQ147" s="163"/>
      <c r="AR147" s="163"/>
      <c r="AS147" s="163"/>
      <c r="AT147" s="163"/>
      <c r="AU147" s="163"/>
      <c r="AV147" s="163"/>
      <c r="AW147" s="163"/>
      <c r="AX147" s="163"/>
      <c r="AY147" s="163"/>
      <c r="AZ147" s="165"/>
      <c r="BA147" s="165"/>
      <c r="BB147" s="165"/>
      <c r="BC147" s="165"/>
      <c r="BD147" s="165"/>
      <c r="BE147" s="165"/>
    </row>
    <row r="148" spans="3:57" ht="15" customHeight="1">
      <c r="C148" s="204" t="s">
        <v>57</v>
      </c>
      <c r="D148" s="193"/>
      <c r="E148" s="3"/>
      <c r="F148" s="1">
        <v>0</v>
      </c>
      <c r="H148" s="51">
        <v>0</v>
      </c>
      <c r="I148" s="51">
        <v>0</v>
      </c>
      <c r="J148" s="51">
        <v>0</v>
      </c>
      <c r="K148" s="51">
        <v>0</v>
      </c>
      <c r="L148" s="51">
        <v>0</v>
      </c>
      <c r="M148" s="217"/>
      <c r="N148" s="292"/>
      <c r="Y148" s="183" t="s">
        <v>21</v>
      </c>
      <c r="Z148" s="184" t="str">
        <f t="shared" si="37"/>
        <v>Nurse Services</v>
      </c>
      <c r="AA148" s="318"/>
      <c r="AB148" s="187">
        <f t="shared" si="38"/>
        <v>0</v>
      </c>
      <c r="AC148" s="187">
        <f t="shared" si="39"/>
        <v>0</v>
      </c>
      <c r="AD148" s="187">
        <f t="shared" si="40"/>
        <v>0</v>
      </c>
      <c r="AE148" s="187">
        <f t="shared" si="41"/>
        <v>0</v>
      </c>
      <c r="AF148" s="187">
        <f t="shared" si="42"/>
        <v>0</v>
      </c>
      <c r="AG148" s="187">
        <f t="shared" si="43"/>
        <v>0</v>
      </c>
      <c r="AH148" s="187">
        <f t="shared" si="44"/>
        <v>0</v>
      </c>
      <c r="AI148" s="187">
        <f t="shared" si="45"/>
        <v>0</v>
      </c>
      <c r="AJ148" s="187">
        <f t="shared" si="46"/>
        <v>0</v>
      </c>
      <c r="AK148" s="187">
        <f t="shared" si="47"/>
        <v>0</v>
      </c>
      <c r="AL148" s="194"/>
      <c r="AM148" s="163"/>
      <c r="AN148" s="163"/>
      <c r="AO148" s="163"/>
      <c r="AP148" s="163"/>
      <c r="AQ148" s="163"/>
      <c r="AR148" s="163"/>
      <c r="AS148" s="163"/>
      <c r="AT148" s="163"/>
      <c r="AU148" s="163"/>
      <c r="AV148" s="163"/>
      <c r="AW148" s="163"/>
      <c r="AX148" s="163"/>
      <c r="AY148" s="163"/>
      <c r="AZ148" s="165"/>
      <c r="BA148" s="165"/>
      <c r="BB148" s="165"/>
      <c r="BC148" s="165"/>
      <c r="BD148" s="165"/>
      <c r="BE148" s="165"/>
    </row>
    <row r="149" spans="3:57" ht="15" customHeight="1">
      <c r="C149" s="204" t="s">
        <v>58</v>
      </c>
      <c r="D149" s="193"/>
      <c r="E149" s="3"/>
      <c r="F149" s="1">
        <v>0</v>
      </c>
      <c r="H149" s="51">
        <v>0</v>
      </c>
      <c r="I149" s="51">
        <v>0</v>
      </c>
      <c r="J149" s="51">
        <v>0</v>
      </c>
      <c r="K149" s="51">
        <v>0</v>
      </c>
      <c r="L149" s="51">
        <v>0</v>
      </c>
      <c r="M149" s="217"/>
      <c r="N149" s="292"/>
      <c r="Y149" s="183" t="s">
        <v>21</v>
      </c>
      <c r="Z149" s="184" t="str">
        <f t="shared" si="37"/>
        <v>Food Service / School Lunch</v>
      </c>
      <c r="AA149" s="318"/>
      <c r="AB149" s="187">
        <f t="shared" si="38"/>
        <v>0</v>
      </c>
      <c r="AC149" s="187">
        <f t="shared" si="39"/>
        <v>0</v>
      </c>
      <c r="AD149" s="187">
        <f t="shared" si="40"/>
        <v>0</v>
      </c>
      <c r="AE149" s="187">
        <f t="shared" si="41"/>
        <v>0</v>
      </c>
      <c r="AF149" s="187">
        <f t="shared" si="42"/>
        <v>0</v>
      </c>
      <c r="AG149" s="187">
        <f t="shared" si="43"/>
        <v>0</v>
      </c>
      <c r="AH149" s="187">
        <f t="shared" si="44"/>
        <v>0</v>
      </c>
      <c r="AI149" s="187">
        <f t="shared" si="45"/>
        <v>0</v>
      </c>
      <c r="AJ149" s="187">
        <f t="shared" si="46"/>
        <v>0</v>
      </c>
      <c r="AK149" s="187">
        <f t="shared" si="47"/>
        <v>0</v>
      </c>
      <c r="AL149" s="194"/>
      <c r="AM149" s="163"/>
      <c r="AN149" s="163"/>
      <c r="AO149" s="163"/>
      <c r="AP149" s="163"/>
      <c r="AQ149" s="163"/>
      <c r="AR149" s="163"/>
      <c r="AS149" s="163"/>
      <c r="AT149" s="163"/>
      <c r="AU149" s="163"/>
      <c r="AV149" s="163"/>
      <c r="AW149" s="163"/>
      <c r="AX149" s="163"/>
      <c r="AY149" s="163"/>
      <c r="AZ149" s="165"/>
      <c r="BA149" s="165"/>
      <c r="BB149" s="165"/>
      <c r="BC149" s="165"/>
      <c r="BD149" s="165"/>
      <c r="BE149" s="165"/>
    </row>
    <row r="150" spans="3:57" ht="15" customHeight="1">
      <c r="C150" s="204" t="s">
        <v>59</v>
      </c>
      <c r="D150" s="193"/>
      <c r="E150" s="3"/>
      <c r="F150" s="1">
        <v>0</v>
      </c>
      <c r="H150" s="51">
        <v>0</v>
      </c>
      <c r="I150" s="51">
        <v>0</v>
      </c>
      <c r="J150" s="51">
        <v>0</v>
      </c>
      <c r="K150" s="51">
        <v>0</v>
      </c>
      <c r="L150" s="51">
        <v>0</v>
      </c>
      <c r="M150" s="217"/>
      <c r="N150" s="292"/>
      <c r="Y150" s="183" t="s">
        <v>21</v>
      </c>
      <c r="Z150" s="184" t="str">
        <f t="shared" si="37"/>
        <v>Payroll Services</v>
      </c>
      <c r="AA150" s="318"/>
      <c r="AB150" s="187">
        <f t="shared" si="38"/>
        <v>0</v>
      </c>
      <c r="AC150" s="187">
        <f t="shared" si="39"/>
        <v>0</v>
      </c>
      <c r="AD150" s="187">
        <f t="shared" si="40"/>
        <v>0</v>
      </c>
      <c r="AE150" s="187">
        <f t="shared" si="41"/>
        <v>0</v>
      </c>
      <c r="AF150" s="187">
        <f t="shared" si="42"/>
        <v>0</v>
      </c>
      <c r="AG150" s="187">
        <f t="shared" si="43"/>
        <v>0</v>
      </c>
      <c r="AH150" s="187">
        <f t="shared" si="44"/>
        <v>0</v>
      </c>
      <c r="AI150" s="187">
        <f t="shared" si="45"/>
        <v>0</v>
      </c>
      <c r="AJ150" s="187">
        <f t="shared" si="46"/>
        <v>0</v>
      </c>
      <c r="AK150" s="187">
        <f t="shared" si="47"/>
        <v>0</v>
      </c>
      <c r="AL150" s="194"/>
      <c r="AM150" s="163"/>
      <c r="AN150" s="163"/>
      <c r="AO150" s="163"/>
      <c r="AP150" s="163"/>
      <c r="AQ150" s="163"/>
      <c r="AR150" s="163"/>
      <c r="AS150" s="163"/>
      <c r="AT150" s="163"/>
      <c r="AU150" s="163"/>
      <c r="AV150" s="163"/>
      <c r="AW150" s="163"/>
      <c r="AX150" s="163"/>
      <c r="AY150" s="163"/>
      <c r="AZ150" s="165"/>
      <c r="BA150" s="165"/>
      <c r="BB150" s="165"/>
      <c r="BC150" s="165"/>
      <c r="BD150" s="165"/>
      <c r="BE150" s="165"/>
    </row>
    <row r="151" spans="3:57" ht="15" customHeight="1">
      <c r="C151" s="204" t="s">
        <v>60</v>
      </c>
      <c r="D151" s="193"/>
      <c r="E151" s="3"/>
      <c r="F151" s="1">
        <v>0</v>
      </c>
      <c r="H151" s="51">
        <v>0</v>
      </c>
      <c r="I151" s="51">
        <v>0</v>
      </c>
      <c r="J151" s="51">
        <v>0</v>
      </c>
      <c r="K151" s="51">
        <v>0</v>
      </c>
      <c r="L151" s="51">
        <v>0</v>
      </c>
      <c r="M151" s="217"/>
      <c r="N151" s="292"/>
      <c r="Y151" s="183" t="s">
        <v>21</v>
      </c>
      <c r="Z151" s="184" t="str">
        <f t="shared" ref="Z151:Z165" si="79">C151</f>
        <v>Special Ed Services</v>
      </c>
      <c r="AA151" s="318"/>
      <c r="AB151" s="187">
        <f t="shared" ref="AB151:AB165" si="80">F151+SUM(F151*H151)</f>
        <v>0</v>
      </c>
      <c r="AC151" s="187">
        <f t="shared" ref="AC151:AC165" si="81">AB151+SUM(AB151*I151)</f>
        <v>0</v>
      </c>
      <c r="AD151" s="187">
        <f t="shared" ref="AD151:AD165" si="82">AC151+SUM(AC151*J151)</f>
        <v>0</v>
      </c>
      <c r="AE151" s="187">
        <f t="shared" ref="AE151:AE165" si="83">AD151+SUM(AD151*K151)</f>
        <v>0</v>
      </c>
      <c r="AF151" s="187">
        <f t="shared" ref="AF151:AF165" si="84">AE151+SUM(AE151*L151)</f>
        <v>0</v>
      </c>
      <c r="AG151" s="187">
        <f t="shared" ref="AG151:AG165" si="85">AF151+SUM(AF151*M151)</f>
        <v>0</v>
      </c>
      <c r="AH151" s="187">
        <f t="shared" ref="AH151:AH165" si="86">AG151+SUM(AG151*N151)</f>
        <v>0</v>
      </c>
      <c r="AI151" s="187">
        <f t="shared" ref="AI151:AI165" si="87">AH151+SUM(AH151*O151)</f>
        <v>0</v>
      </c>
      <c r="AJ151" s="187">
        <f t="shared" ref="AJ151:AJ165" si="88">AI151+SUM(AI151*P151)</f>
        <v>0</v>
      </c>
      <c r="AK151" s="187">
        <f t="shared" ref="AK151:AK165" si="89">AJ151+SUM(AJ151*Q151)</f>
        <v>0</v>
      </c>
      <c r="AL151" s="194"/>
      <c r="AM151" s="163"/>
      <c r="AN151" s="163"/>
      <c r="AO151" s="163"/>
      <c r="AP151" s="163"/>
      <c r="AQ151" s="163"/>
      <c r="AR151" s="163"/>
      <c r="AS151" s="163"/>
      <c r="AT151" s="163"/>
      <c r="AU151" s="163"/>
      <c r="AV151" s="163"/>
      <c r="AW151" s="163"/>
      <c r="AX151" s="163"/>
      <c r="AY151" s="163"/>
      <c r="AZ151" s="165"/>
      <c r="BA151" s="165"/>
      <c r="BB151" s="165"/>
      <c r="BC151" s="165"/>
      <c r="BD151" s="165"/>
      <c r="BE151" s="165"/>
    </row>
    <row r="152" spans="3:57" ht="15" customHeight="1">
      <c r="C152" s="204" t="s">
        <v>61</v>
      </c>
      <c r="D152" s="193"/>
      <c r="E152" s="3"/>
      <c r="F152" s="1">
        <v>0</v>
      </c>
      <c r="H152" s="51">
        <v>0</v>
      </c>
      <c r="I152" s="51">
        <v>0</v>
      </c>
      <c r="J152" s="51">
        <v>0</v>
      </c>
      <c r="K152" s="51">
        <v>0</v>
      </c>
      <c r="L152" s="51">
        <v>0</v>
      </c>
      <c r="M152" s="217"/>
      <c r="N152" s="292"/>
      <c r="Y152" s="183" t="s">
        <v>21</v>
      </c>
      <c r="Z152" s="184" t="str">
        <f t="shared" si="79"/>
        <v>Titlement Services (i.e. Title I)</v>
      </c>
      <c r="AA152" s="318"/>
      <c r="AB152" s="187">
        <f t="shared" si="80"/>
        <v>0</v>
      </c>
      <c r="AC152" s="187">
        <f t="shared" si="81"/>
        <v>0</v>
      </c>
      <c r="AD152" s="187">
        <f t="shared" si="82"/>
        <v>0</v>
      </c>
      <c r="AE152" s="187">
        <f t="shared" si="83"/>
        <v>0</v>
      </c>
      <c r="AF152" s="187">
        <f t="shared" si="84"/>
        <v>0</v>
      </c>
      <c r="AG152" s="187">
        <f t="shared" si="85"/>
        <v>0</v>
      </c>
      <c r="AH152" s="187">
        <f t="shared" si="86"/>
        <v>0</v>
      </c>
      <c r="AI152" s="187">
        <f t="shared" si="87"/>
        <v>0</v>
      </c>
      <c r="AJ152" s="187">
        <f t="shared" si="88"/>
        <v>0</v>
      </c>
      <c r="AK152" s="187">
        <f t="shared" si="89"/>
        <v>0</v>
      </c>
      <c r="AL152" s="194"/>
      <c r="AM152" s="163"/>
      <c r="AN152" s="163"/>
      <c r="AO152" s="163"/>
      <c r="AP152" s="163"/>
      <c r="AQ152" s="163"/>
      <c r="AR152" s="163"/>
      <c r="AS152" s="163"/>
      <c r="AT152" s="163"/>
      <c r="AU152" s="163"/>
      <c r="AV152" s="163"/>
      <c r="AW152" s="163"/>
      <c r="AX152" s="163"/>
      <c r="AY152" s="163"/>
      <c r="AZ152" s="165"/>
      <c r="BA152" s="165"/>
      <c r="BB152" s="165"/>
      <c r="BC152" s="165"/>
      <c r="BD152" s="165"/>
      <c r="BE152" s="165"/>
    </row>
    <row r="153" spans="3:57" ht="15" customHeight="1">
      <c r="C153" s="211" t="s">
        <v>162</v>
      </c>
      <c r="D153" s="193"/>
      <c r="E153" s="3"/>
      <c r="F153" s="1">
        <v>0</v>
      </c>
      <c r="H153" s="51">
        <v>0</v>
      </c>
      <c r="I153" s="51">
        <v>0</v>
      </c>
      <c r="J153" s="51">
        <v>0</v>
      </c>
      <c r="K153" s="51">
        <v>0</v>
      </c>
      <c r="L153" s="51">
        <v>0</v>
      </c>
      <c r="M153" s="217"/>
      <c r="N153" s="292"/>
      <c r="Y153" s="183" t="s">
        <v>21</v>
      </c>
      <c r="Z153" s="184" t="str">
        <f t="shared" si="79"/>
        <v>Custom Contracted Services #1</v>
      </c>
      <c r="AA153" s="318"/>
      <c r="AB153" s="187">
        <f t="shared" si="80"/>
        <v>0</v>
      </c>
      <c r="AC153" s="187">
        <f t="shared" si="81"/>
        <v>0</v>
      </c>
      <c r="AD153" s="187">
        <f t="shared" si="82"/>
        <v>0</v>
      </c>
      <c r="AE153" s="187">
        <f t="shared" si="83"/>
        <v>0</v>
      </c>
      <c r="AF153" s="187">
        <f t="shared" si="84"/>
        <v>0</v>
      </c>
      <c r="AG153" s="187">
        <f t="shared" si="85"/>
        <v>0</v>
      </c>
      <c r="AH153" s="187">
        <f t="shared" si="86"/>
        <v>0</v>
      </c>
      <c r="AI153" s="187">
        <f t="shared" si="87"/>
        <v>0</v>
      </c>
      <c r="AJ153" s="187">
        <f t="shared" si="88"/>
        <v>0</v>
      </c>
      <c r="AK153" s="187">
        <f t="shared" si="89"/>
        <v>0</v>
      </c>
      <c r="AL153" s="194"/>
      <c r="AM153" s="163"/>
      <c r="AN153" s="163"/>
      <c r="AO153" s="163"/>
      <c r="AP153" s="163"/>
      <c r="AQ153" s="163"/>
      <c r="AR153" s="163"/>
      <c r="AS153" s="163"/>
      <c r="AT153" s="163"/>
      <c r="AU153" s="163"/>
      <c r="AV153" s="163"/>
      <c r="AW153" s="163"/>
      <c r="AX153" s="163"/>
      <c r="AY153" s="163"/>
      <c r="AZ153" s="165"/>
      <c r="BA153" s="165"/>
      <c r="BB153" s="165"/>
      <c r="BC153" s="165"/>
      <c r="BD153" s="165"/>
      <c r="BE153" s="165"/>
    </row>
    <row r="154" spans="3:57" ht="15" customHeight="1">
      <c r="C154" s="211" t="s">
        <v>163</v>
      </c>
      <c r="D154" s="193"/>
      <c r="E154" s="3"/>
      <c r="F154" s="1">
        <v>0</v>
      </c>
      <c r="H154" s="51">
        <v>0</v>
      </c>
      <c r="I154" s="51">
        <v>0</v>
      </c>
      <c r="J154" s="51">
        <v>0</v>
      </c>
      <c r="K154" s="51">
        <v>0</v>
      </c>
      <c r="L154" s="51">
        <v>0</v>
      </c>
      <c r="M154" s="217"/>
      <c r="N154" s="292"/>
      <c r="Y154" s="183" t="s">
        <v>21</v>
      </c>
      <c r="Z154" s="184" t="str">
        <f t="shared" si="79"/>
        <v>Custom Contracted Services #2</v>
      </c>
      <c r="AA154" s="318"/>
      <c r="AB154" s="187">
        <f t="shared" si="80"/>
        <v>0</v>
      </c>
      <c r="AC154" s="187">
        <f t="shared" si="81"/>
        <v>0</v>
      </c>
      <c r="AD154" s="187">
        <f t="shared" si="82"/>
        <v>0</v>
      </c>
      <c r="AE154" s="187">
        <f t="shared" si="83"/>
        <v>0</v>
      </c>
      <c r="AF154" s="187">
        <f t="shared" si="84"/>
        <v>0</v>
      </c>
      <c r="AG154" s="187">
        <f t="shared" si="85"/>
        <v>0</v>
      </c>
      <c r="AH154" s="187">
        <f t="shared" si="86"/>
        <v>0</v>
      </c>
      <c r="AI154" s="187">
        <f t="shared" si="87"/>
        <v>0</v>
      </c>
      <c r="AJ154" s="187">
        <f t="shared" si="88"/>
        <v>0</v>
      </c>
      <c r="AK154" s="187">
        <f t="shared" si="89"/>
        <v>0</v>
      </c>
      <c r="AL154" s="194"/>
      <c r="AM154" s="163"/>
      <c r="AN154" s="163"/>
      <c r="AO154" s="163"/>
      <c r="AP154" s="163"/>
      <c r="AQ154" s="163"/>
      <c r="AR154" s="163"/>
      <c r="AS154" s="163"/>
      <c r="AT154" s="163"/>
      <c r="AU154" s="163"/>
      <c r="AV154" s="163"/>
      <c r="AW154" s="163"/>
      <c r="AX154" s="163"/>
      <c r="AY154" s="163"/>
      <c r="AZ154" s="165"/>
      <c r="BA154" s="165"/>
      <c r="BB154" s="165"/>
      <c r="BC154" s="165"/>
      <c r="BD154" s="165"/>
      <c r="BE154" s="165"/>
    </row>
    <row r="155" spans="3:57" ht="15" customHeight="1">
      <c r="C155" s="211" t="s">
        <v>164</v>
      </c>
      <c r="D155" s="193"/>
      <c r="E155" s="3"/>
      <c r="F155" s="1">
        <v>0</v>
      </c>
      <c r="H155" s="51">
        <v>0</v>
      </c>
      <c r="I155" s="51">
        <v>0</v>
      </c>
      <c r="J155" s="51">
        <v>0</v>
      </c>
      <c r="K155" s="51">
        <v>0</v>
      </c>
      <c r="L155" s="51">
        <v>0</v>
      </c>
      <c r="M155" s="217"/>
      <c r="N155" s="292"/>
      <c r="Y155" s="183" t="s">
        <v>21</v>
      </c>
      <c r="Z155" s="184" t="str">
        <f t="shared" si="79"/>
        <v>Custom Contracted Services #3</v>
      </c>
      <c r="AA155" s="318"/>
      <c r="AB155" s="187">
        <f t="shared" si="80"/>
        <v>0</v>
      </c>
      <c r="AC155" s="187">
        <f t="shared" si="81"/>
        <v>0</v>
      </c>
      <c r="AD155" s="187">
        <f t="shared" si="82"/>
        <v>0</v>
      </c>
      <c r="AE155" s="187">
        <f t="shared" si="83"/>
        <v>0</v>
      </c>
      <c r="AF155" s="187">
        <f t="shared" si="84"/>
        <v>0</v>
      </c>
      <c r="AG155" s="187">
        <f t="shared" si="85"/>
        <v>0</v>
      </c>
      <c r="AH155" s="187">
        <f t="shared" si="86"/>
        <v>0</v>
      </c>
      <c r="AI155" s="187">
        <f t="shared" si="87"/>
        <v>0</v>
      </c>
      <c r="AJ155" s="187">
        <f t="shared" si="88"/>
        <v>0</v>
      </c>
      <c r="AK155" s="187">
        <f t="shared" si="89"/>
        <v>0</v>
      </c>
      <c r="AL155" s="194"/>
      <c r="AM155" s="163"/>
      <c r="AN155" s="163"/>
      <c r="AO155" s="163"/>
      <c r="AP155" s="163"/>
      <c r="AQ155" s="163"/>
      <c r="AR155" s="163"/>
      <c r="AS155" s="163"/>
      <c r="AT155" s="163"/>
      <c r="AU155" s="163"/>
      <c r="AV155" s="163"/>
      <c r="AW155" s="163"/>
      <c r="AX155" s="163"/>
      <c r="AY155" s="163"/>
      <c r="AZ155" s="165"/>
      <c r="BA155" s="165"/>
      <c r="BB155" s="165"/>
      <c r="BC155" s="165"/>
      <c r="BD155" s="165"/>
      <c r="BE155" s="165"/>
    </row>
    <row r="156" spans="3:57" ht="15" customHeight="1">
      <c r="C156" s="196" t="str">
        <f>"TOTAL "&amp;C143</f>
        <v>TOTAL CONTRACTED SERVICES</v>
      </c>
      <c r="D156" s="193"/>
      <c r="E156" s="193"/>
      <c r="F156" s="193"/>
      <c r="H156" s="193"/>
      <c r="I156" s="193"/>
      <c r="J156" s="193"/>
      <c r="K156" s="193"/>
      <c r="L156" s="193"/>
      <c r="M156" s="217"/>
      <c r="N156" s="292"/>
      <c r="Y156" s="183" t="s">
        <v>21</v>
      </c>
      <c r="Z156" s="184" t="str">
        <f t="shared" si="79"/>
        <v>TOTAL CONTRACTED SERVICES</v>
      </c>
      <c r="AA156" s="318"/>
      <c r="AB156" s="187">
        <f t="shared" si="80"/>
        <v>0</v>
      </c>
      <c r="AC156" s="187">
        <f t="shared" si="81"/>
        <v>0</v>
      </c>
      <c r="AD156" s="187">
        <f t="shared" si="82"/>
        <v>0</v>
      </c>
      <c r="AE156" s="187">
        <f t="shared" si="83"/>
        <v>0</v>
      </c>
      <c r="AF156" s="187">
        <f t="shared" si="84"/>
        <v>0</v>
      </c>
      <c r="AG156" s="187">
        <f t="shared" si="85"/>
        <v>0</v>
      </c>
      <c r="AH156" s="187">
        <f t="shared" si="86"/>
        <v>0</v>
      </c>
      <c r="AI156" s="187">
        <f t="shared" si="87"/>
        <v>0</v>
      </c>
      <c r="AJ156" s="187">
        <f t="shared" si="88"/>
        <v>0</v>
      </c>
      <c r="AK156" s="187">
        <f t="shared" si="89"/>
        <v>0</v>
      </c>
      <c r="AL156" s="194"/>
      <c r="AM156" s="163"/>
      <c r="AN156" s="163"/>
      <c r="AO156" s="163"/>
      <c r="AP156" s="163"/>
      <c r="AQ156" s="163"/>
      <c r="AR156" s="163"/>
      <c r="AS156" s="163"/>
      <c r="AT156" s="163"/>
      <c r="AU156" s="163"/>
      <c r="AV156" s="163"/>
      <c r="AW156" s="163"/>
      <c r="AX156" s="163"/>
      <c r="AY156" s="163"/>
      <c r="AZ156" s="165"/>
      <c r="BA156" s="165"/>
      <c r="BB156" s="165"/>
      <c r="BC156" s="165"/>
      <c r="BD156" s="165"/>
      <c r="BE156" s="165"/>
    </row>
    <row r="157" spans="3:57" ht="6" customHeight="1">
      <c r="C157" s="196"/>
      <c r="D157" s="193"/>
      <c r="E157" s="193"/>
      <c r="F157" s="193"/>
      <c r="H157" s="193"/>
      <c r="I157" s="193"/>
      <c r="J157" s="193"/>
      <c r="K157" s="193"/>
      <c r="L157" s="193"/>
      <c r="M157" s="217"/>
      <c r="N157" s="352"/>
      <c r="Y157" s="183" t="s">
        <v>21</v>
      </c>
      <c r="Z157" s="184">
        <f t="shared" si="79"/>
        <v>0</v>
      </c>
      <c r="AA157" s="318"/>
      <c r="AB157" s="187">
        <f t="shared" si="80"/>
        <v>0</v>
      </c>
      <c r="AC157" s="187">
        <f t="shared" si="81"/>
        <v>0</v>
      </c>
      <c r="AD157" s="187">
        <f t="shared" si="82"/>
        <v>0</v>
      </c>
      <c r="AE157" s="187">
        <f t="shared" si="83"/>
        <v>0</v>
      </c>
      <c r="AF157" s="187">
        <f t="shared" si="84"/>
        <v>0</v>
      </c>
      <c r="AG157" s="187">
        <f t="shared" si="85"/>
        <v>0</v>
      </c>
      <c r="AH157" s="187">
        <f t="shared" si="86"/>
        <v>0</v>
      </c>
      <c r="AI157" s="187">
        <f t="shared" si="87"/>
        <v>0</v>
      </c>
      <c r="AJ157" s="187">
        <f t="shared" si="88"/>
        <v>0</v>
      </c>
      <c r="AK157" s="187">
        <f t="shared" si="89"/>
        <v>0</v>
      </c>
      <c r="AL157" s="194"/>
      <c r="AM157" s="163"/>
      <c r="AN157" s="163"/>
      <c r="AO157" s="163"/>
      <c r="AP157" s="163"/>
      <c r="AQ157" s="163"/>
      <c r="AR157" s="163"/>
      <c r="AS157" s="163"/>
      <c r="AT157" s="163"/>
      <c r="AU157" s="163"/>
      <c r="AV157" s="163"/>
      <c r="AW157" s="163"/>
      <c r="AX157" s="163"/>
      <c r="AY157" s="163"/>
      <c r="AZ157" s="165"/>
      <c r="BA157" s="165"/>
      <c r="BB157" s="165"/>
      <c r="BC157" s="165"/>
      <c r="BD157" s="165"/>
      <c r="BE157" s="165"/>
    </row>
    <row r="158" spans="3:57" ht="15" customHeight="1">
      <c r="C158" s="81" t="s">
        <v>62</v>
      </c>
      <c r="D158" s="193"/>
      <c r="E158" s="193"/>
      <c r="F158" s="193"/>
      <c r="H158" s="193"/>
      <c r="I158" s="193"/>
      <c r="J158" s="193"/>
      <c r="K158" s="193"/>
      <c r="L158" s="193"/>
      <c r="M158" s="217"/>
      <c r="N158" s="292"/>
      <c r="Y158" s="183" t="s">
        <v>21</v>
      </c>
      <c r="Z158" s="184" t="str">
        <f t="shared" si="79"/>
        <v>SCHOOL OPERATIONS</v>
      </c>
      <c r="AA158" s="318"/>
      <c r="AB158" s="187">
        <f t="shared" si="80"/>
        <v>0</v>
      </c>
      <c r="AC158" s="187">
        <f t="shared" si="81"/>
        <v>0</v>
      </c>
      <c r="AD158" s="187">
        <f t="shared" si="82"/>
        <v>0</v>
      </c>
      <c r="AE158" s="187">
        <f t="shared" si="83"/>
        <v>0</v>
      </c>
      <c r="AF158" s="187">
        <f t="shared" si="84"/>
        <v>0</v>
      </c>
      <c r="AG158" s="187">
        <f t="shared" si="85"/>
        <v>0</v>
      </c>
      <c r="AH158" s="187">
        <f t="shared" si="86"/>
        <v>0</v>
      </c>
      <c r="AI158" s="187">
        <f t="shared" si="87"/>
        <v>0</v>
      </c>
      <c r="AJ158" s="187">
        <f t="shared" si="88"/>
        <v>0</v>
      </c>
      <c r="AK158" s="187">
        <f t="shared" si="89"/>
        <v>0</v>
      </c>
      <c r="AL158" s="194"/>
      <c r="AM158" s="163"/>
      <c r="AN158" s="163"/>
      <c r="AO158" s="163"/>
      <c r="AP158" s="163"/>
      <c r="AQ158" s="163"/>
      <c r="AR158" s="163"/>
      <c r="AS158" s="163"/>
      <c r="AT158" s="163"/>
      <c r="AU158" s="163"/>
      <c r="AV158" s="163"/>
      <c r="AW158" s="163"/>
      <c r="AX158" s="163"/>
      <c r="AY158" s="163"/>
      <c r="AZ158" s="165"/>
      <c r="BA158" s="165"/>
      <c r="BB158" s="165"/>
      <c r="BC158" s="165"/>
      <c r="BD158" s="165"/>
      <c r="BE158" s="165"/>
    </row>
    <row r="159" spans="3:57" ht="15" customHeight="1">
      <c r="C159" s="94" t="s">
        <v>63</v>
      </c>
      <c r="D159" s="193"/>
      <c r="E159" s="3"/>
      <c r="F159" s="1">
        <v>0</v>
      </c>
      <c r="H159" s="51">
        <v>0</v>
      </c>
      <c r="I159" s="51">
        <v>0</v>
      </c>
      <c r="J159" s="51">
        <v>0</v>
      </c>
      <c r="K159" s="51">
        <v>0</v>
      </c>
      <c r="L159" s="51">
        <v>0</v>
      </c>
      <c r="M159" s="217"/>
      <c r="N159" s="292"/>
      <c r="Y159" s="183" t="s">
        <v>21</v>
      </c>
      <c r="Z159" s="184" t="str">
        <f t="shared" si="79"/>
        <v>Board Expenses</v>
      </c>
      <c r="AA159" s="318"/>
      <c r="AB159" s="187">
        <f t="shared" si="80"/>
        <v>0</v>
      </c>
      <c r="AC159" s="187">
        <f t="shared" si="81"/>
        <v>0</v>
      </c>
      <c r="AD159" s="187">
        <f t="shared" si="82"/>
        <v>0</v>
      </c>
      <c r="AE159" s="187">
        <f t="shared" si="83"/>
        <v>0</v>
      </c>
      <c r="AF159" s="187">
        <f t="shared" si="84"/>
        <v>0</v>
      </c>
      <c r="AG159" s="187">
        <f t="shared" si="85"/>
        <v>0</v>
      </c>
      <c r="AH159" s="187">
        <f t="shared" si="86"/>
        <v>0</v>
      </c>
      <c r="AI159" s="187">
        <f t="shared" si="87"/>
        <v>0</v>
      </c>
      <c r="AJ159" s="187">
        <f t="shared" si="88"/>
        <v>0</v>
      </c>
      <c r="AK159" s="187">
        <f t="shared" si="89"/>
        <v>0</v>
      </c>
      <c r="AL159" s="194"/>
      <c r="AM159" s="163"/>
      <c r="AN159" s="163"/>
      <c r="AO159" s="163"/>
      <c r="AP159" s="163"/>
      <c r="AQ159" s="163"/>
      <c r="AR159" s="163"/>
      <c r="AS159" s="163"/>
      <c r="AT159" s="163"/>
      <c r="AU159" s="163"/>
      <c r="AV159" s="163"/>
      <c r="AW159" s="163"/>
      <c r="AX159" s="163"/>
      <c r="AY159" s="163"/>
      <c r="AZ159" s="165"/>
      <c r="BA159" s="165"/>
      <c r="BB159" s="165"/>
      <c r="BC159" s="165"/>
      <c r="BD159" s="165"/>
      <c r="BE159" s="165"/>
    </row>
    <row r="160" spans="3:57" ht="15" customHeight="1">
      <c r="C160" s="94" t="s">
        <v>64</v>
      </c>
      <c r="D160" s="193"/>
      <c r="E160" s="3"/>
      <c r="F160" s="1">
        <v>0</v>
      </c>
      <c r="H160" s="51">
        <v>0</v>
      </c>
      <c r="I160" s="51">
        <v>0</v>
      </c>
      <c r="J160" s="51">
        <v>0</v>
      </c>
      <c r="K160" s="51">
        <v>0</v>
      </c>
      <c r="L160" s="51">
        <v>0</v>
      </c>
      <c r="M160" s="217"/>
      <c r="N160" s="292"/>
      <c r="Y160" s="183" t="s">
        <v>21</v>
      </c>
      <c r="Z160" s="184" t="str">
        <f t="shared" si="79"/>
        <v>Classroom / Teaching Supplies &amp; Materials</v>
      </c>
      <c r="AA160" s="318"/>
      <c r="AB160" s="187">
        <f t="shared" si="80"/>
        <v>0</v>
      </c>
      <c r="AC160" s="187">
        <f t="shared" si="81"/>
        <v>0</v>
      </c>
      <c r="AD160" s="187">
        <f t="shared" si="82"/>
        <v>0</v>
      </c>
      <c r="AE160" s="187">
        <f t="shared" si="83"/>
        <v>0</v>
      </c>
      <c r="AF160" s="187">
        <f t="shared" si="84"/>
        <v>0</v>
      </c>
      <c r="AG160" s="187">
        <f t="shared" si="85"/>
        <v>0</v>
      </c>
      <c r="AH160" s="187">
        <f t="shared" si="86"/>
        <v>0</v>
      </c>
      <c r="AI160" s="187">
        <f t="shared" si="87"/>
        <v>0</v>
      </c>
      <c r="AJ160" s="187">
        <f t="shared" si="88"/>
        <v>0</v>
      </c>
      <c r="AK160" s="187">
        <f t="shared" si="89"/>
        <v>0</v>
      </c>
      <c r="AL160" s="194"/>
      <c r="AM160" s="163"/>
      <c r="AN160" s="163"/>
      <c r="AO160" s="163"/>
      <c r="AP160" s="163"/>
      <c r="AQ160" s="163"/>
      <c r="AR160" s="163"/>
      <c r="AS160" s="163"/>
      <c r="AT160" s="163"/>
      <c r="AU160" s="163"/>
      <c r="AV160" s="163"/>
      <c r="AW160" s="163"/>
      <c r="AX160" s="163"/>
      <c r="AY160" s="163"/>
      <c r="AZ160" s="165"/>
      <c r="BA160" s="165"/>
      <c r="BB160" s="165"/>
      <c r="BC160" s="165"/>
      <c r="BD160" s="165"/>
      <c r="BE160" s="165"/>
    </row>
    <row r="161" spans="3:57" ht="15" customHeight="1">
      <c r="C161" s="94" t="s">
        <v>65</v>
      </c>
      <c r="D161" s="193"/>
      <c r="E161" s="3"/>
      <c r="F161" s="1">
        <v>0</v>
      </c>
      <c r="H161" s="51">
        <v>0</v>
      </c>
      <c r="I161" s="51">
        <v>0</v>
      </c>
      <c r="J161" s="51">
        <v>0</v>
      </c>
      <c r="K161" s="51">
        <v>0</v>
      </c>
      <c r="L161" s="51">
        <v>0</v>
      </c>
      <c r="M161" s="217"/>
      <c r="N161" s="292"/>
      <c r="Y161" s="183" t="s">
        <v>21</v>
      </c>
      <c r="Z161" s="184" t="str">
        <f t="shared" si="79"/>
        <v>Special Ed Supplies &amp; Materials</v>
      </c>
      <c r="AA161" s="318"/>
      <c r="AB161" s="187">
        <f t="shared" si="80"/>
        <v>0</v>
      </c>
      <c r="AC161" s="187">
        <f t="shared" si="81"/>
        <v>0</v>
      </c>
      <c r="AD161" s="187">
        <f t="shared" si="82"/>
        <v>0</v>
      </c>
      <c r="AE161" s="187">
        <f t="shared" si="83"/>
        <v>0</v>
      </c>
      <c r="AF161" s="187">
        <f t="shared" si="84"/>
        <v>0</v>
      </c>
      <c r="AG161" s="187">
        <f t="shared" si="85"/>
        <v>0</v>
      </c>
      <c r="AH161" s="187">
        <f t="shared" si="86"/>
        <v>0</v>
      </c>
      <c r="AI161" s="187">
        <f t="shared" si="87"/>
        <v>0</v>
      </c>
      <c r="AJ161" s="187">
        <f t="shared" si="88"/>
        <v>0</v>
      </c>
      <c r="AK161" s="187">
        <f t="shared" si="89"/>
        <v>0</v>
      </c>
      <c r="AL161" s="194"/>
      <c r="AM161" s="163"/>
      <c r="AN161" s="163"/>
      <c r="AO161" s="163"/>
      <c r="AP161" s="163"/>
      <c r="AQ161" s="163"/>
      <c r="AR161" s="163"/>
      <c r="AS161" s="163"/>
      <c r="AT161" s="163"/>
      <c r="AU161" s="163"/>
      <c r="AV161" s="163"/>
      <c r="AW161" s="163"/>
      <c r="AX161" s="163"/>
      <c r="AY161" s="163"/>
      <c r="AZ161" s="165"/>
      <c r="BA161" s="165"/>
      <c r="BB161" s="165"/>
      <c r="BC161" s="165"/>
      <c r="BD161" s="165"/>
      <c r="BE161" s="165"/>
    </row>
    <row r="162" spans="3:57" ht="15" customHeight="1">
      <c r="C162" s="94" t="s">
        <v>66</v>
      </c>
      <c r="D162" s="193"/>
      <c r="E162" s="3"/>
      <c r="F162" s="1">
        <v>0</v>
      </c>
      <c r="H162" s="51">
        <v>0</v>
      </c>
      <c r="I162" s="51">
        <v>0</v>
      </c>
      <c r="J162" s="51">
        <v>0</v>
      </c>
      <c r="K162" s="51">
        <v>0</v>
      </c>
      <c r="L162" s="51">
        <v>0</v>
      </c>
      <c r="M162" s="217"/>
      <c r="N162" s="292"/>
      <c r="Y162" s="183" t="s">
        <v>21</v>
      </c>
      <c r="Z162" s="184" t="str">
        <f t="shared" si="79"/>
        <v>Textbooks / Workbooks</v>
      </c>
      <c r="AA162" s="318"/>
      <c r="AB162" s="187">
        <f t="shared" si="80"/>
        <v>0</v>
      </c>
      <c r="AC162" s="187">
        <f t="shared" si="81"/>
        <v>0</v>
      </c>
      <c r="AD162" s="187">
        <f t="shared" si="82"/>
        <v>0</v>
      </c>
      <c r="AE162" s="187">
        <f t="shared" si="83"/>
        <v>0</v>
      </c>
      <c r="AF162" s="187">
        <f t="shared" si="84"/>
        <v>0</v>
      </c>
      <c r="AG162" s="187">
        <f t="shared" si="85"/>
        <v>0</v>
      </c>
      <c r="AH162" s="187">
        <f t="shared" si="86"/>
        <v>0</v>
      </c>
      <c r="AI162" s="187">
        <f t="shared" si="87"/>
        <v>0</v>
      </c>
      <c r="AJ162" s="187">
        <f t="shared" si="88"/>
        <v>0</v>
      </c>
      <c r="AK162" s="187">
        <f t="shared" si="89"/>
        <v>0</v>
      </c>
      <c r="AL162" s="194"/>
      <c r="AM162" s="163"/>
      <c r="AN162" s="163"/>
      <c r="AO162" s="163"/>
      <c r="AP162" s="163"/>
      <c r="AQ162" s="163"/>
      <c r="AR162" s="163"/>
      <c r="AS162" s="163"/>
      <c r="AT162" s="163"/>
      <c r="AU162" s="163"/>
      <c r="AV162" s="163"/>
      <c r="AW162" s="163"/>
      <c r="AX162" s="163"/>
      <c r="AY162" s="163"/>
      <c r="AZ162" s="165"/>
      <c r="BA162" s="165"/>
      <c r="BB162" s="165"/>
      <c r="BC162" s="165"/>
      <c r="BD162" s="165"/>
      <c r="BE162" s="165"/>
    </row>
    <row r="163" spans="3:57" ht="15" customHeight="1">
      <c r="C163" s="205" t="s">
        <v>67</v>
      </c>
      <c r="D163" s="193"/>
      <c r="E163" s="3"/>
      <c r="F163" s="1">
        <v>0</v>
      </c>
      <c r="H163" s="51">
        <v>0</v>
      </c>
      <c r="I163" s="51">
        <v>0</v>
      </c>
      <c r="J163" s="51">
        <v>0</v>
      </c>
      <c r="K163" s="51">
        <v>0</v>
      </c>
      <c r="L163" s="51">
        <v>0</v>
      </c>
      <c r="M163" s="217"/>
      <c r="N163" s="292"/>
      <c r="Y163" s="183" t="s">
        <v>21</v>
      </c>
      <c r="Z163" s="184" t="str">
        <f t="shared" si="79"/>
        <v>Supplies &amp; Materials other</v>
      </c>
      <c r="AA163" s="318"/>
      <c r="AB163" s="187">
        <f t="shared" si="80"/>
        <v>0</v>
      </c>
      <c r="AC163" s="187">
        <f t="shared" si="81"/>
        <v>0</v>
      </c>
      <c r="AD163" s="187">
        <f t="shared" si="82"/>
        <v>0</v>
      </c>
      <c r="AE163" s="187">
        <f t="shared" si="83"/>
        <v>0</v>
      </c>
      <c r="AF163" s="187">
        <f t="shared" si="84"/>
        <v>0</v>
      </c>
      <c r="AG163" s="187">
        <f t="shared" si="85"/>
        <v>0</v>
      </c>
      <c r="AH163" s="187">
        <f t="shared" si="86"/>
        <v>0</v>
      </c>
      <c r="AI163" s="187">
        <f t="shared" si="87"/>
        <v>0</v>
      </c>
      <c r="AJ163" s="187">
        <f t="shared" si="88"/>
        <v>0</v>
      </c>
      <c r="AK163" s="187">
        <f t="shared" si="89"/>
        <v>0</v>
      </c>
      <c r="AL163" s="194"/>
      <c r="AM163" s="163"/>
      <c r="AN163" s="163"/>
      <c r="AO163" s="163"/>
      <c r="AP163" s="163"/>
      <c r="AQ163" s="163"/>
      <c r="AR163" s="163"/>
      <c r="AS163" s="163"/>
      <c r="AT163" s="163"/>
      <c r="AU163" s="163"/>
      <c r="AV163" s="163"/>
      <c r="AW163" s="163"/>
      <c r="AX163" s="163"/>
      <c r="AY163" s="163"/>
      <c r="AZ163" s="165"/>
      <c r="BA163" s="165"/>
      <c r="BB163" s="165"/>
      <c r="BC163" s="165"/>
      <c r="BD163" s="165"/>
      <c r="BE163" s="165"/>
    </row>
    <row r="164" spans="3:57" ht="15" customHeight="1">
      <c r="C164" s="205" t="s">
        <v>241</v>
      </c>
      <c r="D164" s="193"/>
      <c r="E164" s="3"/>
      <c r="F164" s="1">
        <v>0</v>
      </c>
      <c r="H164" s="51">
        <v>0</v>
      </c>
      <c r="I164" s="51">
        <v>0</v>
      </c>
      <c r="J164" s="51">
        <v>0</v>
      </c>
      <c r="K164" s="51">
        <v>0</v>
      </c>
      <c r="L164" s="51">
        <v>0</v>
      </c>
      <c r="M164" s="217"/>
      <c r="N164" s="292"/>
      <c r="Y164" s="183" t="s">
        <v>21</v>
      </c>
      <c r="Z164" s="184" t="str">
        <f t="shared" si="79"/>
        <v xml:space="preserve">Equipment / Furniture   </v>
      </c>
      <c r="AA164" s="318"/>
      <c r="AB164" s="187">
        <f t="shared" si="80"/>
        <v>0</v>
      </c>
      <c r="AC164" s="187">
        <f t="shared" si="81"/>
        <v>0</v>
      </c>
      <c r="AD164" s="187">
        <f t="shared" si="82"/>
        <v>0</v>
      </c>
      <c r="AE164" s="187">
        <f t="shared" si="83"/>
        <v>0</v>
      </c>
      <c r="AF164" s="187">
        <f t="shared" si="84"/>
        <v>0</v>
      </c>
      <c r="AG164" s="187">
        <f t="shared" si="85"/>
        <v>0</v>
      </c>
      <c r="AH164" s="187">
        <f t="shared" si="86"/>
        <v>0</v>
      </c>
      <c r="AI164" s="187">
        <f t="shared" si="87"/>
        <v>0</v>
      </c>
      <c r="AJ164" s="187">
        <f t="shared" si="88"/>
        <v>0</v>
      </c>
      <c r="AK164" s="187">
        <f t="shared" si="89"/>
        <v>0</v>
      </c>
      <c r="AL164" s="194"/>
      <c r="AM164" s="163"/>
      <c r="AN164" s="163"/>
      <c r="AO164" s="163"/>
      <c r="AP164" s="163"/>
      <c r="AQ164" s="163"/>
      <c r="AR164" s="163"/>
      <c r="AS164" s="163"/>
      <c r="AT164" s="163"/>
      <c r="AU164" s="163"/>
      <c r="AV164" s="163"/>
      <c r="AW164" s="163"/>
      <c r="AX164" s="163"/>
      <c r="AY164" s="163"/>
      <c r="AZ164" s="165"/>
      <c r="BA164" s="165"/>
      <c r="BB164" s="165"/>
      <c r="BC164" s="165"/>
      <c r="BD164" s="165"/>
      <c r="BE164" s="165"/>
    </row>
    <row r="165" spans="3:57" ht="15" customHeight="1">
      <c r="C165" s="94" t="s">
        <v>69</v>
      </c>
      <c r="D165" s="193"/>
      <c r="E165" s="3"/>
      <c r="F165" s="1">
        <v>0</v>
      </c>
      <c r="H165" s="51">
        <v>0</v>
      </c>
      <c r="I165" s="51">
        <v>0</v>
      </c>
      <c r="J165" s="51">
        <v>0</v>
      </c>
      <c r="K165" s="51">
        <v>0</v>
      </c>
      <c r="L165" s="51">
        <v>0</v>
      </c>
      <c r="M165" s="217"/>
      <c r="N165" s="292"/>
      <c r="Y165" s="183" t="s">
        <v>21</v>
      </c>
      <c r="Z165" s="184" t="str">
        <f t="shared" si="79"/>
        <v xml:space="preserve">Telephone </v>
      </c>
      <c r="AA165" s="318"/>
      <c r="AB165" s="187">
        <f t="shared" si="80"/>
        <v>0</v>
      </c>
      <c r="AC165" s="187">
        <f t="shared" si="81"/>
        <v>0</v>
      </c>
      <c r="AD165" s="187">
        <f t="shared" si="82"/>
        <v>0</v>
      </c>
      <c r="AE165" s="187">
        <f t="shared" si="83"/>
        <v>0</v>
      </c>
      <c r="AF165" s="187">
        <f t="shared" si="84"/>
        <v>0</v>
      </c>
      <c r="AG165" s="187">
        <f t="shared" si="85"/>
        <v>0</v>
      </c>
      <c r="AH165" s="187">
        <f t="shared" si="86"/>
        <v>0</v>
      </c>
      <c r="AI165" s="187">
        <f t="shared" si="87"/>
        <v>0</v>
      </c>
      <c r="AJ165" s="187">
        <f t="shared" si="88"/>
        <v>0</v>
      </c>
      <c r="AK165" s="187">
        <f t="shared" si="89"/>
        <v>0</v>
      </c>
      <c r="AL165" s="194"/>
      <c r="AM165" s="163"/>
      <c r="AN165" s="163"/>
      <c r="AO165" s="163"/>
      <c r="AP165" s="163"/>
      <c r="AQ165" s="163"/>
      <c r="AR165" s="163"/>
      <c r="AS165" s="163"/>
      <c r="AT165" s="163"/>
      <c r="AU165" s="163"/>
      <c r="AV165" s="163"/>
      <c r="AW165" s="163"/>
      <c r="AX165" s="163"/>
      <c r="AY165" s="163"/>
      <c r="AZ165" s="165"/>
      <c r="BA165" s="165"/>
      <c r="BB165" s="165"/>
      <c r="BC165" s="165"/>
      <c r="BD165" s="165"/>
      <c r="BE165" s="165"/>
    </row>
    <row r="166" spans="3:57" ht="15" customHeight="1">
      <c r="C166" s="205" t="s">
        <v>70</v>
      </c>
      <c r="D166" s="193"/>
      <c r="E166" s="3"/>
      <c r="F166" s="1">
        <v>0</v>
      </c>
      <c r="H166" s="51">
        <v>0</v>
      </c>
      <c r="I166" s="51">
        <v>0</v>
      </c>
      <c r="J166" s="51">
        <v>0</v>
      </c>
      <c r="K166" s="51">
        <v>0</v>
      </c>
      <c r="L166" s="51">
        <v>0</v>
      </c>
      <c r="M166" s="217"/>
      <c r="N166" s="292"/>
      <c r="Y166" s="183" t="s">
        <v>21</v>
      </c>
      <c r="Z166" s="184" t="str">
        <f t="shared" ref="Z166:Z174" si="90">C166</f>
        <v>Technology</v>
      </c>
      <c r="AA166" s="187"/>
      <c r="AB166" s="187">
        <f t="shared" ref="AB166:AB175" si="91">F166+SUM(F166*H166)</f>
        <v>0</v>
      </c>
      <c r="AC166" s="187">
        <f t="shared" ref="AC166:AK168" si="92">AB166+SUM(AB166*I166)</f>
        <v>0</v>
      </c>
      <c r="AD166" s="187">
        <f t="shared" si="92"/>
        <v>0</v>
      </c>
      <c r="AE166" s="187">
        <f t="shared" si="92"/>
        <v>0</v>
      </c>
      <c r="AF166" s="187">
        <f t="shared" si="92"/>
        <v>0</v>
      </c>
      <c r="AG166" s="187">
        <f t="shared" si="92"/>
        <v>0</v>
      </c>
      <c r="AH166" s="187">
        <f t="shared" si="92"/>
        <v>0</v>
      </c>
      <c r="AI166" s="187">
        <f t="shared" si="92"/>
        <v>0</v>
      </c>
      <c r="AJ166" s="187">
        <f t="shared" si="92"/>
        <v>0</v>
      </c>
      <c r="AK166" s="187">
        <f t="shared" si="92"/>
        <v>0</v>
      </c>
      <c r="AL166" s="194"/>
      <c r="AM166" s="163"/>
      <c r="AN166" s="163"/>
      <c r="AO166" s="163"/>
      <c r="AP166" s="163"/>
      <c r="AQ166" s="163"/>
      <c r="AR166" s="163"/>
      <c r="AS166" s="163"/>
      <c r="AT166" s="163"/>
      <c r="AU166" s="163"/>
      <c r="AV166" s="163"/>
      <c r="AW166" s="163"/>
      <c r="AX166" s="163"/>
      <c r="AY166" s="163"/>
      <c r="AZ166" s="165"/>
      <c r="BA166" s="165"/>
      <c r="BB166" s="165"/>
      <c r="BC166" s="165"/>
      <c r="BD166" s="165"/>
      <c r="BE166" s="165"/>
    </row>
    <row r="167" spans="3:57" ht="15" customHeight="1">
      <c r="C167" s="94" t="s">
        <v>71</v>
      </c>
      <c r="D167" s="193"/>
      <c r="E167" s="3"/>
      <c r="F167" s="1">
        <v>0</v>
      </c>
      <c r="H167" s="51">
        <v>0</v>
      </c>
      <c r="I167" s="51">
        <v>0</v>
      </c>
      <c r="J167" s="51">
        <v>0</v>
      </c>
      <c r="K167" s="51">
        <v>0</v>
      </c>
      <c r="L167" s="51">
        <v>0</v>
      </c>
      <c r="M167" s="217"/>
      <c r="N167" s="292"/>
      <c r="Y167" s="183" t="s">
        <v>21</v>
      </c>
      <c r="Z167" s="184" t="str">
        <f t="shared" si="90"/>
        <v>Student Testing &amp; Assessment</v>
      </c>
      <c r="AA167" s="187"/>
      <c r="AB167" s="187">
        <f t="shared" si="91"/>
        <v>0</v>
      </c>
      <c r="AC167" s="187">
        <f t="shared" si="92"/>
        <v>0</v>
      </c>
      <c r="AD167" s="187">
        <f t="shared" si="92"/>
        <v>0</v>
      </c>
      <c r="AE167" s="187">
        <f t="shared" si="92"/>
        <v>0</v>
      </c>
      <c r="AF167" s="187">
        <f t="shared" si="92"/>
        <v>0</v>
      </c>
      <c r="AG167" s="187">
        <f t="shared" si="92"/>
        <v>0</v>
      </c>
      <c r="AH167" s="187">
        <f t="shared" si="92"/>
        <v>0</v>
      </c>
      <c r="AI167" s="187">
        <f t="shared" si="92"/>
        <v>0</v>
      </c>
      <c r="AJ167" s="187">
        <f t="shared" si="92"/>
        <v>0</v>
      </c>
      <c r="AK167" s="187">
        <f t="shared" si="92"/>
        <v>0</v>
      </c>
      <c r="AL167" s="194"/>
      <c r="AM167" s="163"/>
      <c r="AN167" s="163"/>
      <c r="AO167" s="163"/>
      <c r="AP167" s="163"/>
      <c r="AQ167" s="163"/>
      <c r="AR167" s="163"/>
      <c r="AS167" s="163"/>
      <c r="AT167" s="163"/>
      <c r="AU167" s="163"/>
      <c r="AV167" s="163"/>
      <c r="AW167" s="163"/>
      <c r="AX167" s="163"/>
      <c r="AY167" s="163"/>
      <c r="AZ167" s="165"/>
      <c r="BA167" s="165"/>
      <c r="BB167" s="165"/>
      <c r="BC167" s="165"/>
      <c r="BD167" s="165"/>
      <c r="BE167" s="165"/>
    </row>
    <row r="168" spans="3:57" ht="15" customHeight="1">
      <c r="C168" s="94" t="s">
        <v>72</v>
      </c>
      <c r="D168" s="193"/>
      <c r="E168" s="3"/>
      <c r="F168" s="1">
        <v>0</v>
      </c>
      <c r="H168" s="51">
        <v>0</v>
      </c>
      <c r="I168" s="51">
        <v>0</v>
      </c>
      <c r="J168" s="51">
        <v>0</v>
      </c>
      <c r="K168" s="51">
        <v>0</v>
      </c>
      <c r="L168" s="51">
        <v>0</v>
      </c>
      <c r="M168" s="217"/>
      <c r="N168" s="292"/>
      <c r="Y168" s="183" t="s">
        <v>21</v>
      </c>
      <c r="Z168" s="184" t="str">
        <f t="shared" si="90"/>
        <v>Field Trips</v>
      </c>
      <c r="AA168" s="187"/>
      <c r="AB168" s="187">
        <f t="shared" si="91"/>
        <v>0</v>
      </c>
      <c r="AC168" s="187">
        <f t="shared" si="92"/>
        <v>0</v>
      </c>
      <c r="AD168" s="187">
        <f t="shared" si="92"/>
        <v>0</v>
      </c>
      <c r="AE168" s="187">
        <f t="shared" si="92"/>
        <v>0</v>
      </c>
      <c r="AF168" s="187">
        <f t="shared" si="92"/>
        <v>0</v>
      </c>
      <c r="AG168" s="187">
        <f t="shared" si="92"/>
        <v>0</v>
      </c>
      <c r="AH168" s="187">
        <f t="shared" si="92"/>
        <v>0</v>
      </c>
      <c r="AI168" s="187">
        <f t="shared" si="92"/>
        <v>0</v>
      </c>
      <c r="AJ168" s="187">
        <f t="shared" si="92"/>
        <v>0</v>
      </c>
      <c r="AK168" s="187">
        <f t="shared" si="92"/>
        <v>0</v>
      </c>
      <c r="AL168" s="194"/>
      <c r="AM168" s="163"/>
      <c r="AN168" s="163"/>
      <c r="AO168" s="163"/>
      <c r="AP168" s="163"/>
      <c r="AQ168" s="163"/>
      <c r="AR168" s="163"/>
      <c r="AS168" s="163"/>
      <c r="AT168" s="163"/>
      <c r="AU168" s="163"/>
      <c r="AV168" s="163"/>
      <c r="AW168" s="163"/>
      <c r="AX168" s="163"/>
      <c r="AY168" s="163"/>
      <c r="AZ168" s="165"/>
      <c r="BA168" s="165"/>
      <c r="BB168" s="165"/>
      <c r="BC168" s="165"/>
      <c r="BD168" s="165"/>
      <c r="BE168" s="165"/>
    </row>
    <row r="169" spans="3:57" ht="15" customHeight="1">
      <c r="C169" s="94" t="s">
        <v>73</v>
      </c>
      <c r="D169" s="193"/>
      <c r="E169" s="3"/>
      <c r="F169" s="1">
        <v>0</v>
      </c>
      <c r="H169" s="51">
        <v>0</v>
      </c>
      <c r="I169" s="51">
        <v>0</v>
      </c>
      <c r="J169" s="51">
        <v>0</v>
      </c>
      <c r="K169" s="51">
        <v>0</v>
      </c>
      <c r="L169" s="51">
        <v>0</v>
      </c>
      <c r="M169" s="217"/>
      <c r="N169" s="292"/>
      <c r="Y169" s="183" t="s">
        <v>21</v>
      </c>
      <c r="Z169" s="184" t="str">
        <f t="shared" si="90"/>
        <v>Transportation (student)</v>
      </c>
      <c r="AA169" s="187"/>
      <c r="AB169" s="187">
        <f t="shared" si="91"/>
        <v>0</v>
      </c>
      <c r="AC169" s="187">
        <f t="shared" ref="AC169:AC198" si="93">AB169+SUM(AB169*I169)</f>
        <v>0</v>
      </c>
      <c r="AD169" s="187">
        <f t="shared" ref="AD169:AD198" si="94">AC169+SUM(AC169*J169)</f>
        <v>0</v>
      </c>
      <c r="AE169" s="187">
        <f t="shared" ref="AE169:AE198" si="95">AD169+SUM(AD169*K169)</f>
        <v>0</v>
      </c>
      <c r="AF169" s="187">
        <f t="shared" ref="AF169:AF198" si="96">AE169+SUM(AE169*L169)</f>
        <v>0</v>
      </c>
      <c r="AG169" s="187">
        <f t="shared" ref="AG169:AG181" si="97">AF169+SUM(AF169*M169)</f>
        <v>0</v>
      </c>
      <c r="AH169" s="187">
        <f t="shared" ref="AH169:AH181" si="98">AG169+SUM(AG169*N169)</f>
        <v>0</v>
      </c>
      <c r="AI169" s="187">
        <f t="shared" ref="AI169:AI181" si="99">AH169+SUM(AH169*O169)</f>
        <v>0</v>
      </c>
      <c r="AJ169" s="187">
        <f t="shared" ref="AJ169:AJ181" si="100">AI169+SUM(AI169*P169)</f>
        <v>0</v>
      </c>
      <c r="AK169" s="187">
        <f t="shared" ref="AK169:AK181" si="101">AJ169+SUM(AJ169*Q169)</f>
        <v>0</v>
      </c>
      <c r="AL169" s="194"/>
      <c r="AM169" s="163"/>
      <c r="AN169" s="163"/>
      <c r="AO169" s="163"/>
      <c r="AP169" s="163"/>
      <c r="AQ169" s="163"/>
      <c r="AR169" s="163"/>
      <c r="AS169" s="163"/>
      <c r="AT169" s="163"/>
      <c r="AU169" s="163"/>
      <c r="AV169" s="163"/>
      <c r="AW169" s="163"/>
      <c r="AX169" s="163"/>
      <c r="AY169" s="163"/>
      <c r="AZ169" s="165"/>
      <c r="BA169" s="165"/>
      <c r="BB169" s="165"/>
      <c r="BC169" s="165"/>
      <c r="BD169" s="165"/>
      <c r="BE169" s="165"/>
    </row>
    <row r="170" spans="3:57" ht="15" customHeight="1">
      <c r="C170" s="94" t="s">
        <v>74</v>
      </c>
      <c r="D170" s="193"/>
      <c r="E170" s="3"/>
      <c r="F170" s="1">
        <v>0</v>
      </c>
      <c r="H170" s="51">
        <v>0</v>
      </c>
      <c r="I170" s="51">
        <v>0</v>
      </c>
      <c r="J170" s="51">
        <v>0</v>
      </c>
      <c r="K170" s="51">
        <v>0</v>
      </c>
      <c r="L170" s="51">
        <v>0</v>
      </c>
      <c r="M170" s="217"/>
      <c r="N170" s="292"/>
      <c r="Y170" s="183" t="s">
        <v>21</v>
      </c>
      <c r="Z170" s="184" t="str">
        <f t="shared" si="90"/>
        <v>Student Services - other</v>
      </c>
      <c r="AA170" s="187"/>
      <c r="AB170" s="187">
        <f t="shared" si="91"/>
        <v>0</v>
      </c>
      <c r="AC170" s="187">
        <f t="shared" si="93"/>
        <v>0</v>
      </c>
      <c r="AD170" s="187">
        <f t="shared" si="94"/>
        <v>0</v>
      </c>
      <c r="AE170" s="187">
        <f t="shared" si="95"/>
        <v>0</v>
      </c>
      <c r="AF170" s="187">
        <f t="shared" si="96"/>
        <v>0</v>
      </c>
      <c r="AG170" s="187">
        <f t="shared" si="97"/>
        <v>0</v>
      </c>
      <c r="AH170" s="187">
        <f t="shared" si="98"/>
        <v>0</v>
      </c>
      <c r="AI170" s="187">
        <f t="shared" si="99"/>
        <v>0</v>
      </c>
      <c r="AJ170" s="187">
        <f t="shared" si="100"/>
        <v>0</v>
      </c>
      <c r="AK170" s="187">
        <f t="shared" si="101"/>
        <v>0</v>
      </c>
      <c r="AL170" s="194"/>
      <c r="AM170" s="163"/>
      <c r="AN170" s="163"/>
      <c r="AO170" s="163"/>
      <c r="AP170" s="163"/>
      <c r="AQ170" s="163"/>
      <c r="AR170" s="163"/>
      <c r="AS170" s="163"/>
      <c r="AT170" s="163"/>
      <c r="AU170" s="163"/>
      <c r="AV170" s="163"/>
      <c r="AW170" s="163"/>
      <c r="AX170" s="163"/>
      <c r="AY170" s="163"/>
      <c r="AZ170" s="165"/>
      <c r="BA170" s="165"/>
      <c r="BB170" s="165"/>
      <c r="BC170" s="165"/>
      <c r="BD170" s="165"/>
      <c r="BE170" s="165"/>
    </row>
    <row r="171" spans="3:57" ht="15" customHeight="1">
      <c r="C171" s="205" t="s">
        <v>75</v>
      </c>
      <c r="D171" s="193"/>
      <c r="E171" s="3"/>
      <c r="F171" s="1">
        <v>0</v>
      </c>
      <c r="H171" s="51">
        <v>0</v>
      </c>
      <c r="I171" s="51">
        <v>0</v>
      </c>
      <c r="J171" s="51">
        <v>0</v>
      </c>
      <c r="K171" s="51">
        <v>0</v>
      </c>
      <c r="L171" s="51">
        <v>0</v>
      </c>
      <c r="M171" s="217"/>
      <c r="N171" s="292"/>
      <c r="Y171" s="183" t="s">
        <v>21</v>
      </c>
      <c r="Z171" s="184" t="str">
        <f t="shared" si="90"/>
        <v>Office Expense</v>
      </c>
      <c r="AA171" s="187"/>
      <c r="AB171" s="187">
        <f t="shared" si="91"/>
        <v>0</v>
      </c>
      <c r="AC171" s="187">
        <f t="shared" si="93"/>
        <v>0</v>
      </c>
      <c r="AD171" s="187">
        <f t="shared" si="94"/>
        <v>0</v>
      </c>
      <c r="AE171" s="187">
        <f t="shared" si="95"/>
        <v>0</v>
      </c>
      <c r="AF171" s="187">
        <f t="shared" si="96"/>
        <v>0</v>
      </c>
      <c r="AG171" s="187">
        <f t="shared" si="97"/>
        <v>0</v>
      </c>
      <c r="AH171" s="187">
        <f t="shared" si="98"/>
        <v>0</v>
      </c>
      <c r="AI171" s="187">
        <f t="shared" si="99"/>
        <v>0</v>
      </c>
      <c r="AJ171" s="187">
        <f t="shared" si="100"/>
        <v>0</v>
      </c>
      <c r="AK171" s="187">
        <f t="shared" si="101"/>
        <v>0</v>
      </c>
      <c r="AL171" s="194"/>
      <c r="AM171" s="163"/>
      <c r="AN171" s="163"/>
      <c r="AO171" s="163"/>
      <c r="AP171" s="163"/>
      <c r="AQ171" s="163"/>
      <c r="AR171" s="163"/>
      <c r="AS171" s="163"/>
      <c r="AT171" s="163"/>
      <c r="AU171" s="163"/>
      <c r="AV171" s="163"/>
      <c r="AW171" s="163"/>
      <c r="AX171" s="163"/>
      <c r="AY171" s="163"/>
      <c r="AZ171" s="165"/>
      <c r="BA171" s="165"/>
      <c r="BB171" s="165"/>
      <c r="BC171" s="165"/>
      <c r="BD171" s="165"/>
      <c r="BE171" s="165"/>
    </row>
    <row r="172" spans="3:57" ht="15" customHeight="1">
      <c r="C172" s="205" t="s">
        <v>76</v>
      </c>
      <c r="D172" s="193"/>
      <c r="E172" s="3"/>
      <c r="F172" s="1">
        <v>0</v>
      </c>
      <c r="H172" s="51">
        <v>0</v>
      </c>
      <c r="I172" s="51">
        <v>0</v>
      </c>
      <c r="J172" s="51">
        <v>0</v>
      </c>
      <c r="K172" s="51">
        <v>0</v>
      </c>
      <c r="L172" s="51">
        <v>0</v>
      </c>
      <c r="M172" s="217"/>
      <c r="N172" s="292"/>
      <c r="Y172" s="183" t="s">
        <v>21</v>
      </c>
      <c r="Z172" s="184" t="str">
        <f t="shared" si="90"/>
        <v>Staff Development</v>
      </c>
      <c r="AA172" s="187"/>
      <c r="AB172" s="187">
        <f t="shared" si="91"/>
        <v>0</v>
      </c>
      <c r="AC172" s="187">
        <f t="shared" si="93"/>
        <v>0</v>
      </c>
      <c r="AD172" s="187">
        <f t="shared" si="94"/>
        <v>0</v>
      </c>
      <c r="AE172" s="187">
        <f t="shared" si="95"/>
        <v>0</v>
      </c>
      <c r="AF172" s="187">
        <f t="shared" si="96"/>
        <v>0</v>
      </c>
      <c r="AG172" s="187">
        <f t="shared" si="97"/>
        <v>0</v>
      </c>
      <c r="AH172" s="187">
        <f t="shared" si="98"/>
        <v>0</v>
      </c>
      <c r="AI172" s="187">
        <f t="shared" si="99"/>
        <v>0</v>
      </c>
      <c r="AJ172" s="187">
        <f t="shared" si="100"/>
        <v>0</v>
      </c>
      <c r="AK172" s="187">
        <f t="shared" si="101"/>
        <v>0</v>
      </c>
      <c r="AL172" s="194"/>
      <c r="AM172" s="163"/>
      <c r="AN172" s="163"/>
      <c r="AO172" s="163"/>
      <c r="AP172" s="163"/>
      <c r="AQ172" s="163"/>
      <c r="AR172" s="163"/>
      <c r="AS172" s="163"/>
      <c r="AT172" s="163"/>
      <c r="AU172" s="163"/>
      <c r="AV172" s="163"/>
      <c r="AW172" s="163"/>
      <c r="AX172" s="163"/>
      <c r="AY172" s="163"/>
      <c r="AZ172" s="165"/>
      <c r="BA172" s="165"/>
      <c r="BB172" s="165"/>
      <c r="BC172" s="165"/>
      <c r="BD172" s="165"/>
      <c r="BE172" s="165"/>
    </row>
    <row r="173" spans="3:57" ht="15" customHeight="1">
      <c r="C173" s="94" t="s">
        <v>77</v>
      </c>
      <c r="D173" s="193"/>
      <c r="E173" s="3"/>
      <c r="F173" s="1">
        <v>0</v>
      </c>
      <c r="H173" s="51">
        <v>0</v>
      </c>
      <c r="I173" s="51">
        <v>0</v>
      </c>
      <c r="J173" s="51">
        <v>0</v>
      </c>
      <c r="K173" s="51">
        <v>0</v>
      </c>
      <c r="L173" s="51">
        <v>0</v>
      </c>
      <c r="M173" s="217"/>
      <c r="N173" s="292"/>
      <c r="Y173" s="183" t="s">
        <v>21</v>
      </c>
      <c r="Z173" s="184" t="str">
        <f t="shared" si="90"/>
        <v>Staff Recruitment</v>
      </c>
      <c r="AA173" s="187"/>
      <c r="AB173" s="187">
        <f t="shared" si="91"/>
        <v>0</v>
      </c>
      <c r="AC173" s="187">
        <f t="shared" si="93"/>
        <v>0</v>
      </c>
      <c r="AD173" s="187">
        <f t="shared" si="94"/>
        <v>0</v>
      </c>
      <c r="AE173" s="187">
        <f t="shared" si="95"/>
        <v>0</v>
      </c>
      <c r="AF173" s="187">
        <f t="shared" si="96"/>
        <v>0</v>
      </c>
      <c r="AG173" s="187">
        <f t="shared" si="97"/>
        <v>0</v>
      </c>
      <c r="AH173" s="187">
        <f t="shared" si="98"/>
        <v>0</v>
      </c>
      <c r="AI173" s="187">
        <f t="shared" si="99"/>
        <v>0</v>
      </c>
      <c r="AJ173" s="187">
        <f t="shared" si="100"/>
        <v>0</v>
      </c>
      <c r="AK173" s="187">
        <f t="shared" si="101"/>
        <v>0</v>
      </c>
      <c r="AL173" s="194"/>
      <c r="AM173" s="163"/>
      <c r="AN173" s="163"/>
      <c r="AO173" s="163"/>
      <c r="AP173" s="163"/>
      <c r="AQ173" s="163"/>
      <c r="AR173" s="163"/>
      <c r="AS173" s="163"/>
      <c r="AT173" s="163"/>
      <c r="AU173" s="163"/>
      <c r="AV173" s="163"/>
      <c r="AW173" s="163"/>
      <c r="AX173" s="163"/>
      <c r="AY173" s="163"/>
      <c r="AZ173" s="165"/>
      <c r="BA173" s="165"/>
      <c r="BB173" s="165"/>
      <c r="BC173" s="165"/>
      <c r="BD173" s="165"/>
      <c r="BE173" s="165"/>
    </row>
    <row r="174" spans="3:57" ht="15" customHeight="1">
      <c r="C174" s="94" t="s">
        <v>78</v>
      </c>
      <c r="D174" s="193"/>
      <c r="E174" s="3"/>
      <c r="F174" s="1">
        <v>0</v>
      </c>
      <c r="H174" s="51">
        <v>0</v>
      </c>
      <c r="I174" s="51">
        <v>0</v>
      </c>
      <c r="J174" s="51">
        <v>0</v>
      </c>
      <c r="K174" s="51">
        <v>0</v>
      </c>
      <c r="L174" s="51">
        <v>0</v>
      </c>
      <c r="M174" s="217"/>
      <c r="N174" s="292"/>
      <c r="Y174" s="183" t="s">
        <v>21</v>
      </c>
      <c r="Z174" s="184" t="str">
        <f t="shared" si="90"/>
        <v>Student Recruitment / Marketing</v>
      </c>
      <c r="AA174" s="187"/>
      <c r="AB174" s="187">
        <f t="shared" si="91"/>
        <v>0</v>
      </c>
      <c r="AC174" s="187">
        <f t="shared" si="93"/>
        <v>0</v>
      </c>
      <c r="AD174" s="187">
        <f t="shared" si="94"/>
        <v>0</v>
      </c>
      <c r="AE174" s="187">
        <f t="shared" si="95"/>
        <v>0</v>
      </c>
      <c r="AF174" s="187">
        <f t="shared" si="96"/>
        <v>0</v>
      </c>
      <c r="AG174" s="187">
        <f t="shared" si="97"/>
        <v>0</v>
      </c>
      <c r="AH174" s="187">
        <f t="shared" si="98"/>
        <v>0</v>
      </c>
      <c r="AI174" s="187">
        <f t="shared" si="99"/>
        <v>0</v>
      </c>
      <c r="AJ174" s="187">
        <f t="shared" si="100"/>
        <v>0</v>
      </c>
      <c r="AK174" s="187">
        <f t="shared" si="101"/>
        <v>0</v>
      </c>
      <c r="AL174" s="194"/>
      <c r="AM174" s="163"/>
      <c r="AN174" s="163"/>
      <c r="AO174" s="163"/>
      <c r="AP174" s="163"/>
      <c r="AQ174" s="163"/>
      <c r="AR174" s="163"/>
      <c r="AS174" s="163"/>
      <c r="AT174" s="163"/>
      <c r="AU174" s="163"/>
      <c r="AV174" s="163"/>
      <c r="AW174" s="163"/>
      <c r="AX174" s="163"/>
      <c r="AY174" s="163"/>
      <c r="AZ174" s="165"/>
      <c r="BA174" s="165"/>
      <c r="BB174" s="165"/>
      <c r="BC174" s="165"/>
      <c r="BD174" s="165"/>
      <c r="BE174" s="165"/>
    </row>
    <row r="175" spans="3:57" ht="15" customHeight="1">
      <c r="C175" s="94" t="s">
        <v>79</v>
      </c>
      <c r="D175" s="193"/>
      <c r="E175" s="3"/>
      <c r="F175" s="1">
        <v>0</v>
      </c>
      <c r="H175" s="51">
        <v>0</v>
      </c>
      <c r="I175" s="51">
        <v>0</v>
      </c>
      <c r="J175" s="51">
        <v>0</v>
      </c>
      <c r="K175" s="51">
        <v>0</v>
      </c>
      <c r="L175" s="51">
        <v>0</v>
      </c>
      <c r="M175" s="217"/>
      <c r="N175" s="292"/>
      <c r="Y175" s="183" t="s">
        <v>21</v>
      </c>
      <c r="Z175" s="184" t="str">
        <f t="shared" ref="Z175:Z204" si="102">C175</f>
        <v>School Meals / Lunch</v>
      </c>
      <c r="AA175" s="187"/>
      <c r="AB175" s="187">
        <f t="shared" si="91"/>
        <v>0</v>
      </c>
      <c r="AC175" s="187">
        <f t="shared" si="93"/>
        <v>0</v>
      </c>
      <c r="AD175" s="187">
        <f t="shared" si="94"/>
        <v>0</v>
      </c>
      <c r="AE175" s="187">
        <f t="shared" si="95"/>
        <v>0</v>
      </c>
      <c r="AF175" s="187">
        <f t="shared" si="96"/>
        <v>0</v>
      </c>
      <c r="AG175" s="187">
        <f t="shared" si="97"/>
        <v>0</v>
      </c>
      <c r="AH175" s="187">
        <f t="shared" si="98"/>
        <v>0</v>
      </c>
      <c r="AI175" s="187">
        <f t="shared" si="99"/>
        <v>0</v>
      </c>
      <c r="AJ175" s="187">
        <f t="shared" si="100"/>
        <v>0</v>
      </c>
      <c r="AK175" s="187">
        <f t="shared" si="101"/>
        <v>0</v>
      </c>
      <c r="AL175" s="194"/>
      <c r="AM175" s="163"/>
      <c r="AN175" s="163"/>
      <c r="AO175" s="163"/>
      <c r="AP175" s="163"/>
      <c r="AQ175" s="163"/>
      <c r="AR175" s="163"/>
      <c r="AS175" s="163"/>
      <c r="AT175" s="163"/>
      <c r="AU175" s="163"/>
      <c r="AV175" s="163"/>
      <c r="AW175" s="163"/>
      <c r="AX175" s="163"/>
      <c r="AY175" s="163"/>
      <c r="AZ175" s="165"/>
      <c r="BA175" s="165"/>
      <c r="BB175" s="165"/>
      <c r="BC175" s="165"/>
      <c r="BD175" s="165"/>
      <c r="BE175" s="165"/>
    </row>
    <row r="176" spans="3:57" ht="15" customHeight="1">
      <c r="C176" s="94" t="s">
        <v>80</v>
      </c>
      <c r="D176" s="193"/>
      <c r="E176" s="3"/>
      <c r="F176" s="1">
        <v>0</v>
      </c>
      <c r="H176" s="51">
        <v>0</v>
      </c>
      <c r="I176" s="51">
        <v>0</v>
      </c>
      <c r="J176" s="51">
        <v>0</v>
      </c>
      <c r="K176" s="51">
        <v>0</v>
      </c>
      <c r="L176" s="51">
        <v>0</v>
      </c>
      <c r="M176" s="217"/>
      <c r="N176" s="292"/>
      <c r="Y176" s="183" t="s">
        <v>21</v>
      </c>
      <c r="Z176" s="184" t="str">
        <f t="shared" si="102"/>
        <v>Travel (Staff)</v>
      </c>
      <c r="AA176" s="187"/>
      <c r="AB176" s="187">
        <f t="shared" ref="AB176:AB198" si="103">F176+SUM(F176*H176)</f>
        <v>0</v>
      </c>
      <c r="AC176" s="187">
        <f t="shared" si="93"/>
        <v>0</v>
      </c>
      <c r="AD176" s="187">
        <f t="shared" si="94"/>
        <v>0</v>
      </c>
      <c r="AE176" s="187">
        <f t="shared" si="95"/>
        <v>0</v>
      </c>
      <c r="AF176" s="187">
        <f t="shared" si="96"/>
        <v>0</v>
      </c>
      <c r="AG176" s="187">
        <f t="shared" si="97"/>
        <v>0</v>
      </c>
      <c r="AH176" s="187">
        <f t="shared" si="98"/>
        <v>0</v>
      </c>
      <c r="AI176" s="187">
        <f t="shared" si="99"/>
        <v>0</v>
      </c>
      <c r="AJ176" s="187">
        <f t="shared" si="100"/>
        <v>0</v>
      </c>
      <c r="AK176" s="187">
        <f t="shared" si="101"/>
        <v>0</v>
      </c>
      <c r="AL176" s="194"/>
      <c r="AM176" s="163"/>
      <c r="AN176" s="163"/>
      <c r="AO176" s="163"/>
      <c r="AP176" s="163"/>
      <c r="AQ176" s="163"/>
      <c r="AR176" s="163"/>
      <c r="AS176" s="163"/>
      <c r="AT176" s="163"/>
      <c r="AU176" s="163"/>
      <c r="AV176" s="163"/>
      <c r="AW176" s="163"/>
      <c r="AX176" s="163"/>
      <c r="AY176" s="163"/>
      <c r="AZ176" s="165"/>
      <c r="BA176" s="165"/>
      <c r="BB176" s="165"/>
      <c r="BC176" s="165"/>
      <c r="BD176" s="165"/>
      <c r="BE176" s="165"/>
    </row>
    <row r="177" spans="3:57" ht="15" customHeight="1">
      <c r="C177" s="94" t="s">
        <v>31</v>
      </c>
      <c r="D177" s="193"/>
      <c r="E177" s="3"/>
      <c r="F177" s="1">
        <v>0</v>
      </c>
      <c r="H177" s="51">
        <v>0</v>
      </c>
      <c r="I177" s="51">
        <v>0</v>
      </c>
      <c r="J177" s="51">
        <v>0</v>
      </c>
      <c r="K177" s="51">
        <v>0</v>
      </c>
      <c r="L177" s="51">
        <v>0</v>
      </c>
      <c r="M177" s="217"/>
      <c r="N177" s="292"/>
      <c r="Y177" s="183" t="s">
        <v>21</v>
      </c>
      <c r="Z177" s="184" t="str">
        <f t="shared" si="102"/>
        <v>Fundraising</v>
      </c>
      <c r="AA177" s="187"/>
      <c r="AB177" s="187">
        <f t="shared" si="103"/>
        <v>0</v>
      </c>
      <c r="AC177" s="187">
        <f t="shared" si="93"/>
        <v>0</v>
      </c>
      <c r="AD177" s="187">
        <f t="shared" si="94"/>
        <v>0</v>
      </c>
      <c r="AE177" s="187">
        <f t="shared" si="95"/>
        <v>0</v>
      </c>
      <c r="AF177" s="187">
        <f t="shared" si="96"/>
        <v>0</v>
      </c>
      <c r="AG177" s="187">
        <f t="shared" si="97"/>
        <v>0</v>
      </c>
      <c r="AH177" s="187">
        <f t="shared" si="98"/>
        <v>0</v>
      </c>
      <c r="AI177" s="187">
        <f t="shared" si="99"/>
        <v>0</v>
      </c>
      <c r="AJ177" s="187">
        <f t="shared" si="100"/>
        <v>0</v>
      </c>
      <c r="AK177" s="187">
        <f t="shared" si="101"/>
        <v>0</v>
      </c>
      <c r="AL177" s="194"/>
      <c r="AM177" s="163"/>
      <c r="AN177" s="163"/>
      <c r="AO177" s="163"/>
      <c r="AP177" s="163"/>
      <c r="AQ177" s="163"/>
      <c r="AR177" s="163"/>
      <c r="AS177" s="163"/>
      <c r="AT177" s="163"/>
      <c r="AU177" s="163"/>
      <c r="AV177" s="163"/>
      <c r="AW177" s="163"/>
      <c r="AX177" s="163"/>
      <c r="AY177" s="163"/>
      <c r="AZ177" s="165"/>
      <c r="BA177" s="165"/>
      <c r="BB177" s="165"/>
      <c r="BC177" s="165"/>
      <c r="BD177" s="165"/>
      <c r="BE177" s="165"/>
    </row>
    <row r="178" spans="3:57" ht="15" customHeight="1">
      <c r="C178" s="212" t="s">
        <v>165</v>
      </c>
      <c r="D178" s="193"/>
      <c r="E178" s="3"/>
      <c r="F178" s="1">
        <v>0</v>
      </c>
      <c r="H178" s="51">
        <v>0</v>
      </c>
      <c r="I178" s="51">
        <v>0</v>
      </c>
      <c r="J178" s="51">
        <v>0</v>
      </c>
      <c r="K178" s="51">
        <v>0</v>
      </c>
      <c r="L178" s="51">
        <v>0</v>
      </c>
      <c r="M178" s="217"/>
      <c r="N178" s="292"/>
      <c r="Y178" s="183" t="s">
        <v>21</v>
      </c>
      <c r="Z178" s="184" t="str">
        <f t="shared" si="102"/>
        <v>Custom Operations #1</v>
      </c>
      <c r="AA178" s="187"/>
      <c r="AB178" s="187">
        <f t="shared" si="103"/>
        <v>0</v>
      </c>
      <c r="AC178" s="187">
        <f t="shared" si="93"/>
        <v>0</v>
      </c>
      <c r="AD178" s="187">
        <f t="shared" si="94"/>
        <v>0</v>
      </c>
      <c r="AE178" s="187">
        <f t="shared" si="95"/>
        <v>0</v>
      </c>
      <c r="AF178" s="187">
        <f t="shared" si="96"/>
        <v>0</v>
      </c>
      <c r="AG178" s="187">
        <f t="shared" si="97"/>
        <v>0</v>
      </c>
      <c r="AH178" s="187">
        <f t="shared" si="98"/>
        <v>0</v>
      </c>
      <c r="AI178" s="187">
        <f t="shared" si="99"/>
        <v>0</v>
      </c>
      <c r="AJ178" s="187">
        <f t="shared" si="100"/>
        <v>0</v>
      </c>
      <c r="AK178" s="187">
        <f t="shared" si="101"/>
        <v>0</v>
      </c>
      <c r="AL178" s="194"/>
      <c r="AM178" s="163"/>
      <c r="AN178" s="163"/>
      <c r="AO178" s="163"/>
      <c r="AP178" s="163"/>
      <c r="AQ178" s="163"/>
      <c r="AR178" s="163"/>
      <c r="AS178" s="163"/>
      <c r="AT178" s="163"/>
      <c r="AU178" s="163"/>
      <c r="AV178" s="163"/>
      <c r="AW178" s="163"/>
      <c r="AX178" s="163"/>
      <c r="AY178" s="163"/>
      <c r="AZ178" s="165"/>
      <c r="BA178" s="165"/>
      <c r="BB178" s="165"/>
      <c r="BC178" s="165"/>
      <c r="BD178" s="165"/>
      <c r="BE178" s="165"/>
    </row>
    <row r="179" spans="3:57" ht="15" customHeight="1">
      <c r="C179" s="212" t="s">
        <v>166</v>
      </c>
      <c r="D179" s="193"/>
      <c r="E179" s="3"/>
      <c r="F179" s="1">
        <v>0</v>
      </c>
      <c r="H179" s="51">
        <v>0</v>
      </c>
      <c r="I179" s="51">
        <v>0</v>
      </c>
      <c r="J179" s="51">
        <v>0</v>
      </c>
      <c r="K179" s="51">
        <v>0</v>
      </c>
      <c r="L179" s="51">
        <v>0</v>
      </c>
      <c r="M179" s="217"/>
      <c r="N179" s="292"/>
      <c r="Y179" s="183" t="s">
        <v>21</v>
      </c>
      <c r="Z179" s="184" t="str">
        <f t="shared" si="102"/>
        <v>Custom Operations #2</v>
      </c>
      <c r="AA179" s="187"/>
      <c r="AB179" s="187">
        <f t="shared" si="103"/>
        <v>0</v>
      </c>
      <c r="AC179" s="187">
        <f t="shared" si="93"/>
        <v>0</v>
      </c>
      <c r="AD179" s="187">
        <f t="shared" si="94"/>
        <v>0</v>
      </c>
      <c r="AE179" s="187">
        <f t="shared" si="95"/>
        <v>0</v>
      </c>
      <c r="AF179" s="187">
        <f t="shared" si="96"/>
        <v>0</v>
      </c>
      <c r="AG179" s="187">
        <f t="shared" si="97"/>
        <v>0</v>
      </c>
      <c r="AH179" s="187">
        <f t="shared" si="98"/>
        <v>0</v>
      </c>
      <c r="AI179" s="187">
        <f t="shared" si="99"/>
        <v>0</v>
      </c>
      <c r="AJ179" s="187">
        <f t="shared" si="100"/>
        <v>0</v>
      </c>
      <c r="AK179" s="187">
        <f t="shared" si="101"/>
        <v>0</v>
      </c>
      <c r="AL179" s="194"/>
      <c r="AM179" s="163"/>
      <c r="AN179" s="163"/>
      <c r="AO179" s="163"/>
      <c r="AP179" s="163"/>
      <c r="AQ179" s="163"/>
      <c r="AR179" s="163"/>
      <c r="AS179" s="163"/>
      <c r="AT179" s="163"/>
      <c r="AU179" s="163"/>
      <c r="AV179" s="163"/>
      <c r="AW179" s="163"/>
      <c r="AX179" s="163"/>
      <c r="AY179" s="163"/>
      <c r="AZ179" s="165"/>
      <c r="BA179" s="165"/>
      <c r="BB179" s="165"/>
      <c r="BC179" s="165"/>
      <c r="BD179" s="165"/>
      <c r="BE179" s="165"/>
    </row>
    <row r="180" spans="3:57" ht="15" customHeight="1">
      <c r="C180" s="212" t="s">
        <v>167</v>
      </c>
      <c r="D180" s="193"/>
      <c r="E180" s="3"/>
      <c r="F180" s="1">
        <v>0</v>
      </c>
      <c r="H180" s="51">
        <v>0</v>
      </c>
      <c r="I180" s="51">
        <v>0</v>
      </c>
      <c r="J180" s="51">
        <v>0</v>
      </c>
      <c r="K180" s="51">
        <v>0</v>
      </c>
      <c r="L180" s="51">
        <v>0</v>
      </c>
      <c r="M180" s="217"/>
      <c r="N180" s="292"/>
      <c r="Y180" s="183" t="s">
        <v>21</v>
      </c>
      <c r="Z180" s="184" t="str">
        <f t="shared" si="102"/>
        <v>Custom Operations #3</v>
      </c>
      <c r="AA180" s="187"/>
      <c r="AB180" s="187">
        <f t="shared" si="103"/>
        <v>0</v>
      </c>
      <c r="AC180" s="187">
        <f t="shared" si="93"/>
        <v>0</v>
      </c>
      <c r="AD180" s="187">
        <f t="shared" si="94"/>
        <v>0</v>
      </c>
      <c r="AE180" s="187">
        <f t="shared" si="95"/>
        <v>0</v>
      </c>
      <c r="AF180" s="187">
        <f t="shared" si="96"/>
        <v>0</v>
      </c>
      <c r="AG180" s="187">
        <f t="shared" si="97"/>
        <v>0</v>
      </c>
      <c r="AH180" s="187">
        <f t="shared" si="98"/>
        <v>0</v>
      </c>
      <c r="AI180" s="187">
        <f t="shared" si="99"/>
        <v>0</v>
      </c>
      <c r="AJ180" s="187">
        <f t="shared" si="100"/>
        <v>0</v>
      </c>
      <c r="AK180" s="187">
        <f t="shared" si="101"/>
        <v>0</v>
      </c>
      <c r="AL180" s="194"/>
      <c r="AM180" s="163"/>
      <c r="AN180" s="163"/>
      <c r="AO180" s="163"/>
      <c r="AP180" s="163"/>
      <c r="AQ180" s="163"/>
      <c r="AR180" s="163"/>
      <c r="AS180" s="163"/>
      <c r="AT180" s="163"/>
      <c r="AU180" s="163"/>
      <c r="AV180" s="163"/>
      <c r="AW180" s="163"/>
      <c r="AX180" s="163"/>
      <c r="AY180" s="163"/>
      <c r="AZ180" s="165"/>
      <c r="BA180" s="165"/>
      <c r="BB180" s="165"/>
      <c r="BC180" s="165"/>
      <c r="BD180" s="165"/>
      <c r="BE180" s="165"/>
    </row>
    <row r="181" spans="3:57" ht="15" customHeight="1">
      <c r="C181" s="196" t="str">
        <f>"TOTAL "&amp;C158</f>
        <v>TOTAL SCHOOL OPERATIONS</v>
      </c>
      <c r="D181" s="193"/>
      <c r="E181" s="193"/>
      <c r="F181" s="193"/>
      <c r="G181" s="193"/>
      <c r="H181" s="193"/>
      <c r="I181" s="193"/>
      <c r="J181" s="193"/>
      <c r="K181" s="193"/>
      <c r="L181" s="193"/>
      <c r="M181" s="217"/>
      <c r="N181" s="292"/>
      <c r="Y181" s="183" t="s">
        <v>21</v>
      </c>
      <c r="Z181" s="184" t="str">
        <f t="shared" si="102"/>
        <v>TOTAL SCHOOL OPERATIONS</v>
      </c>
      <c r="AA181" s="187"/>
      <c r="AB181" s="187">
        <f t="shared" si="103"/>
        <v>0</v>
      </c>
      <c r="AC181" s="187">
        <f t="shared" si="93"/>
        <v>0</v>
      </c>
      <c r="AD181" s="187">
        <f t="shared" si="94"/>
        <v>0</v>
      </c>
      <c r="AE181" s="187">
        <f t="shared" si="95"/>
        <v>0</v>
      </c>
      <c r="AF181" s="187">
        <f t="shared" si="96"/>
        <v>0</v>
      </c>
      <c r="AG181" s="187">
        <f t="shared" si="97"/>
        <v>0</v>
      </c>
      <c r="AH181" s="187">
        <f t="shared" si="98"/>
        <v>0</v>
      </c>
      <c r="AI181" s="187">
        <f t="shared" si="99"/>
        <v>0</v>
      </c>
      <c r="AJ181" s="187">
        <f t="shared" si="100"/>
        <v>0</v>
      </c>
      <c r="AK181" s="187">
        <f t="shared" si="101"/>
        <v>0</v>
      </c>
      <c r="AL181" s="194"/>
      <c r="AM181" s="163"/>
      <c r="AN181" s="163"/>
      <c r="AO181" s="163"/>
      <c r="AP181" s="163"/>
      <c r="AQ181" s="163"/>
      <c r="AR181" s="163"/>
      <c r="AS181" s="163"/>
      <c r="AT181" s="163"/>
      <c r="AU181" s="163"/>
      <c r="AV181" s="163"/>
      <c r="AW181" s="163"/>
      <c r="AX181" s="163"/>
      <c r="AY181" s="163"/>
      <c r="AZ181" s="165"/>
      <c r="BA181" s="165"/>
      <c r="BB181" s="165"/>
      <c r="BC181" s="165"/>
      <c r="BD181" s="165"/>
      <c r="BE181" s="165"/>
    </row>
    <row r="182" spans="3:57" ht="6" customHeight="1">
      <c r="C182" s="193"/>
      <c r="D182" s="193"/>
      <c r="E182" s="193"/>
      <c r="F182" s="193"/>
      <c r="G182" s="193"/>
      <c r="H182" s="193"/>
      <c r="I182" s="193"/>
      <c r="J182" s="193"/>
      <c r="K182" s="193"/>
      <c r="L182" s="193"/>
      <c r="M182" s="214"/>
      <c r="N182" s="352"/>
      <c r="Y182" s="183" t="s">
        <v>21</v>
      </c>
      <c r="Z182" s="184">
        <f t="shared" si="102"/>
        <v>0</v>
      </c>
      <c r="AA182" s="187"/>
      <c r="AB182" s="187">
        <f t="shared" si="103"/>
        <v>0</v>
      </c>
      <c r="AC182" s="187">
        <f t="shared" si="93"/>
        <v>0</v>
      </c>
      <c r="AD182" s="187">
        <f t="shared" si="94"/>
        <v>0</v>
      </c>
      <c r="AE182" s="187">
        <f t="shared" si="95"/>
        <v>0</v>
      </c>
      <c r="AF182" s="187">
        <f t="shared" si="96"/>
        <v>0</v>
      </c>
      <c r="AG182" s="187">
        <f t="shared" ref="AG182:AK184" si="104">AF182+SUM(AF182*M182)</f>
        <v>0</v>
      </c>
      <c r="AH182" s="187">
        <f t="shared" si="104"/>
        <v>0</v>
      </c>
      <c r="AI182" s="187">
        <f t="shared" si="104"/>
        <v>0</v>
      </c>
      <c r="AJ182" s="187">
        <f t="shared" si="104"/>
        <v>0</v>
      </c>
      <c r="AK182" s="187">
        <f t="shared" si="104"/>
        <v>0</v>
      </c>
      <c r="AL182" s="194"/>
      <c r="AM182" s="163"/>
      <c r="AN182" s="163"/>
      <c r="AO182" s="163"/>
      <c r="AP182" s="163"/>
      <c r="AQ182" s="163"/>
      <c r="AR182" s="163"/>
      <c r="AS182" s="163"/>
      <c r="AT182" s="163"/>
      <c r="AU182" s="163"/>
      <c r="AV182" s="163"/>
      <c r="AW182" s="163"/>
      <c r="AX182" s="163"/>
      <c r="AY182" s="163"/>
      <c r="AZ182" s="165"/>
      <c r="BA182" s="165"/>
      <c r="BB182" s="165"/>
      <c r="BC182" s="165"/>
      <c r="BD182" s="165"/>
      <c r="BE182" s="165"/>
    </row>
    <row r="183" spans="3:57" ht="15" customHeight="1">
      <c r="C183" s="81" t="s">
        <v>81</v>
      </c>
      <c r="D183" s="193"/>
      <c r="E183" s="193"/>
      <c r="F183" s="193"/>
      <c r="H183" s="193"/>
      <c r="I183" s="193"/>
      <c r="J183" s="193"/>
      <c r="K183" s="193"/>
      <c r="L183" s="193"/>
      <c r="M183" s="217"/>
      <c r="N183" s="292"/>
      <c r="Y183" s="183" t="s">
        <v>21</v>
      </c>
      <c r="Z183" s="184" t="str">
        <f t="shared" si="102"/>
        <v>FACILITY OPERATION &amp; MAINTENANCE</v>
      </c>
      <c r="AA183" s="187"/>
      <c r="AB183" s="187">
        <f t="shared" si="103"/>
        <v>0</v>
      </c>
      <c r="AC183" s="187">
        <f t="shared" si="93"/>
        <v>0</v>
      </c>
      <c r="AD183" s="187">
        <f t="shared" si="94"/>
        <v>0</v>
      </c>
      <c r="AE183" s="187">
        <f t="shared" si="95"/>
        <v>0</v>
      </c>
      <c r="AF183" s="187">
        <f t="shared" si="96"/>
        <v>0</v>
      </c>
      <c r="AG183" s="187">
        <f t="shared" si="104"/>
        <v>0</v>
      </c>
      <c r="AH183" s="187">
        <f t="shared" si="104"/>
        <v>0</v>
      </c>
      <c r="AI183" s="187">
        <f t="shared" si="104"/>
        <v>0</v>
      </c>
      <c r="AJ183" s="187">
        <f t="shared" si="104"/>
        <v>0</v>
      </c>
      <c r="AK183" s="187">
        <f t="shared" si="104"/>
        <v>0</v>
      </c>
      <c r="AL183" s="194"/>
      <c r="AM183" s="163"/>
      <c r="AN183" s="163"/>
      <c r="AO183" s="163"/>
      <c r="AP183" s="163"/>
      <c r="AQ183" s="163"/>
      <c r="AR183" s="163"/>
      <c r="AS183" s="163"/>
      <c r="AT183" s="163"/>
      <c r="AU183" s="163"/>
      <c r="AV183" s="163"/>
      <c r="AW183" s="163"/>
      <c r="AX183" s="163"/>
      <c r="AY183" s="163"/>
      <c r="AZ183" s="165"/>
      <c r="BA183" s="165"/>
      <c r="BB183" s="165"/>
      <c r="BC183" s="165"/>
      <c r="BD183" s="165"/>
      <c r="BE183" s="165"/>
    </row>
    <row r="184" spans="3:57" ht="15" customHeight="1">
      <c r="C184" s="201" t="s">
        <v>82</v>
      </c>
      <c r="D184" s="193"/>
      <c r="E184" s="3"/>
      <c r="F184" s="1">
        <v>0</v>
      </c>
      <c r="H184" s="51">
        <v>0</v>
      </c>
      <c r="I184" s="51">
        <v>0</v>
      </c>
      <c r="J184" s="51">
        <v>0</v>
      </c>
      <c r="K184" s="51">
        <v>0</v>
      </c>
      <c r="L184" s="51">
        <v>0</v>
      </c>
      <c r="M184" s="217"/>
      <c r="N184" s="292"/>
      <c r="Y184" s="183" t="s">
        <v>21</v>
      </c>
      <c r="Z184" s="184" t="str">
        <f t="shared" si="102"/>
        <v>Insurance</v>
      </c>
      <c r="AA184" s="187"/>
      <c r="AB184" s="187">
        <f t="shared" si="103"/>
        <v>0</v>
      </c>
      <c r="AC184" s="187">
        <f t="shared" si="93"/>
        <v>0</v>
      </c>
      <c r="AD184" s="187">
        <f t="shared" si="94"/>
        <v>0</v>
      </c>
      <c r="AE184" s="187">
        <f t="shared" si="95"/>
        <v>0</v>
      </c>
      <c r="AF184" s="187">
        <f t="shared" si="96"/>
        <v>0</v>
      </c>
      <c r="AG184" s="187">
        <f t="shared" si="104"/>
        <v>0</v>
      </c>
      <c r="AH184" s="187">
        <f t="shared" si="104"/>
        <v>0</v>
      </c>
      <c r="AI184" s="187">
        <f t="shared" si="104"/>
        <v>0</v>
      </c>
      <c r="AJ184" s="187">
        <f t="shared" si="104"/>
        <v>0</v>
      </c>
      <c r="AK184" s="187">
        <f t="shared" si="104"/>
        <v>0</v>
      </c>
      <c r="AL184" s="194"/>
      <c r="AM184" s="163"/>
      <c r="AN184" s="163"/>
      <c r="AO184" s="163"/>
      <c r="AP184" s="163"/>
      <c r="AQ184" s="163"/>
      <c r="AR184" s="163"/>
      <c r="AS184" s="163"/>
      <c r="AT184" s="163"/>
      <c r="AU184" s="163"/>
      <c r="AV184" s="163"/>
      <c r="AW184" s="163"/>
      <c r="AX184" s="163"/>
      <c r="AY184" s="163"/>
      <c r="AZ184" s="165"/>
      <c r="BA184" s="165"/>
      <c r="BB184" s="165"/>
      <c r="BC184" s="165"/>
      <c r="BD184" s="165"/>
      <c r="BE184" s="165"/>
    </row>
    <row r="185" spans="3:57" ht="15" customHeight="1">
      <c r="C185" s="201" t="s">
        <v>175</v>
      </c>
      <c r="D185" s="193"/>
      <c r="E185" s="3"/>
      <c r="F185" s="1">
        <v>0</v>
      </c>
      <c r="H185" s="51">
        <v>0</v>
      </c>
      <c r="I185" s="51">
        <v>0</v>
      </c>
      <c r="J185" s="51">
        <v>0</v>
      </c>
      <c r="K185" s="51">
        <v>0</v>
      </c>
      <c r="L185" s="51">
        <v>0</v>
      </c>
      <c r="M185" s="217"/>
      <c r="N185" s="292"/>
      <c r="Y185" s="183" t="s">
        <v>21</v>
      </c>
      <c r="Z185" s="184" t="str">
        <f t="shared" si="102"/>
        <v>Janitorial Services</v>
      </c>
      <c r="AA185" s="187"/>
      <c r="AB185" s="187">
        <f t="shared" si="103"/>
        <v>0</v>
      </c>
      <c r="AC185" s="187">
        <f t="shared" si="93"/>
        <v>0</v>
      </c>
      <c r="AD185" s="187">
        <f t="shared" si="94"/>
        <v>0</v>
      </c>
      <c r="AE185" s="187">
        <f t="shared" si="95"/>
        <v>0</v>
      </c>
      <c r="AF185" s="187">
        <f t="shared" si="96"/>
        <v>0</v>
      </c>
      <c r="AG185" s="187">
        <f t="shared" ref="AG185:AG198" si="105">AF185+SUM(AF185*M185)</f>
        <v>0</v>
      </c>
      <c r="AH185" s="187">
        <f t="shared" ref="AH185:AH198" si="106">AG185+SUM(AG185*N185)</f>
        <v>0</v>
      </c>
      <c r="AI185" s="187">
        <f t="shared" ref="AI185:AI198" si="107">AH185+SUM(AH185*O185)</f>
        <v>0</v>
      </c>
      <c r="AJ185" s="187">
        <f t="shared" ref="AJ185:AJ198" si="108">AI185+SUM(AI185*P185)</f>
        <v>0</v>
      </c>
      <c r="AK185" s="187">
        <f t="shared" ref="AK185:AK198" si="109">AJ185+SUM(AJ185*Q185)</f>
        <v>0</v>
      </c>
      <c r="AL185" s="194"/>
      <c r="AM185" s="163"/>
      <c r="AN185" s="163"/>
      <c r="AO185" s="163"/>
      <c r="AP185" s="163"/>
      <c r="AQ185" s="163"/>
      <c r="AR185" s="163"/>
      <c r="AS185" s="163"/>
      <c r="AT185" s="163"/>
      <c r="AU185" s="163"/>
      <c r="AV185" s="163"/>
      <c r="AW185" s="163"/>
      <c r="AX185" s="163"/>
      <c r="AY185" s="163"/>
      <c r="AZ185" s="165"/>
      <c r="BA185" s="165"/>
      <c r="BB185" s="165"/>
      <c r="BC185" s="165"/>
      <c r="BD185" s="165"/>
      <c r="BE185" s="165"/>
    </row>
    <row r="186" spans="3:57" ht="15" customHeight="1">
      <c r="C186" s="201" t="s">
        <v>83</v>
      </c>
      <c r="D186" s="193"/>
      <c r="E186" s="3"/>
      <c r="F186" s="1">
        <v>0</v>
      </c>
      <c r="H186" s="51">
        <v>0</v>
      </c>
      <c r="I186" s="51">
        <v>0</v>
      </c>
      <c r="J186" s="51">
        <v>0</v>
      </c>
      <c r="K186" s="51">
        <v>0</v>
      </c>
      <c r="L186" s="51">
        <v>0</v>
      </c>
      <c r="M186" s="217"/>
      <c r="N186" s="292"/>
      <c r="Y186" s="183" t="s">
        <v>21</v>
      </c>
      <c r="Z186" s="184" t="str">
        <f t="shared" si="102"/>
        <v>Building and Land Rent / Lease</v>
      </c>
      <c r="AA186" s="187"/>
      <c r="AB186" s="187">
        <f t="shared" si="103"/>
        <v>0</v>
      </c>
      <c r="AC186" s="187">
        <f t="shared" si="93"/>
        <v>0</v>
      </c>
      <c r="AD186" s="187">
        <f t="shared" si="94"/>
        <v>0</v>
      </c>
      <c r="AE186" s="187">
        <f t="shared" si="95"/>
        <v>0</v>
      </c>
      <c r="AF186" s="187">
        <f t="shared" si="96"/>
        <v>0</v>
      </c>
      <c r="AG186" s="187">
        <f t="shared" si="105"/>
        <v>0</v>
      </c>
      <c r="AH186" s="187">
        <f t="shared" si="106"/>
        <v>0</v>
      </c>
      <c r="AI186" s="187">
        <f t="shared" si="107"/>
        <v>0</v>
      </c>
      <c r="AJ186" s="187">
        <f t="shared" si="108"/>
        <v>0</v>
      </c>
      <c r="AK186" s="187">
        <f t="shared" si="109"/>
        <v>0</v>
      </c>
      <c r="AL186" s="194"/>
      <c r="AM186" s="163"/>
      <c r="AN186" s="163"/>
      <c r="AO186" s="163"/>
      <c r="AP186" s="163"/>
      <c r="AQ186" s="163"/>
      <c r="AR186" s="163"/>
      <c r="AS186" s="163"/>
      <c r="AT186" s="163"/>
      <c r="AU186" s="163"/>
      <c r="AV186" s="163"/>
      <c r="AW186" s="163"/>
      <c r="AX186" s="163"/>
      <c r="AY186" s="163"/>
      <c r="AZ186" s="165"/>
      <c r="BA186" s="165"/>
      <c r="BB186" s="165"/>
      <c r="BC186" s="165"/>
      <c r="BD186" s="165"/>
      <c r="BE186" s="165"/>
    </row>
    <row r="187" spans="3:57" ht="15" customHeight="1">
      <c r="C187" s="201" t="s">
        <v>84</v>
      </c>
      <c r="D187" s="193"/>
      <c r="E187" s="3"/>
      <c r="F187" s="1">
        <v>0</v>
      </c>
      <c r="H187" s="51">
        <v>0</v>
      </c>
      <c r="I187" s="51">
        <v>0</v>
      </c>
      <c r="J187" s="51">
        <v>0</v>
      </c>
      <c r="K187" s="51">
        <v>0</v>
      </c>
      <c r="L187" s="51">
        <v>0</v>
      </c>
      <c r="M187" s="217"/>
      <c r="N187" s="292"/>
      <c r="Y187" s="183" t="s">
        <v>21</v>
      </c>
      <c r="Z187" s="184" t="str">
        <f t="shared" si="102"/>
        <v xml:space="preserve">Repairs &amp; Maintenance </v>
      </c>
      <c r="AA187" s="187"/>
      <c r="AB187" s="187">
        <f t="shared" si="103"/>
        <v>0</v>
      </c>
      <c r="AC187" s="187">
        <f t="shared" si="93"/>
        <v>0</v>
      </c>
      <c r="AD187" s="187">
        <f t="shared" si="94"/>
        <v>0</v>
      </c>
      <c r="AE187" s="187">
        <f t="shared" si="95"/>
        <v>0</v>
      </c>
      <c r="AF187" s="187">
        <f t="shared" si="96"/>
        <v>0</v>
      </c>
      <c r="AG187" s="187">
        <f t="shared" si="105"/>
        <v>0</v>
      </c>
      <c r="AH187" s="187">
        <f t="shared" si="106"/>
        <v>0</v>
      </c>
      <c r="AI187" s="187">
        <f t="shared" si="107"/>
        <v>0</v>
      </c>
      <c r="AJ187" s="187">
        <f t="shared" si="108"/>
        <v>0</v>
      </c>
      <c r="AK187" s="187">
        <f t="shared" si="109"/>
        <v>0</v>
      </c>
      <c r="AL187" s="194"/>
      <c r="AM187" s="163"/>
      <c r="AN187" s="163"/>
      <c r="AO187" s="163"/>
      <c r="AP187" s="163"/>
      <c r="AQ187" s="163"/>
      <c r="AR187" s="163"/>
      <c r="AS187" s="163"/>
      <c r="AT187" s="163"/>
      <c r="AU187" s="163"/>
      <c r="AV187" s="163"/>
      <c r="AW187" s="163"/>
      <c r="AX187" s="163"/>
      <c r="AY187" s="163"/>
      <c r="AZ187" s="165"/>
      <c r="BA187" s="165"/>
      <c r="BB187" s="165"/>
      <c r="BC187" s="165"/>
      <c r="BD187" s="165"/>
      <c r="BE187" s="165"/>
    </row>
    <row r="188" spans="3:57" ht="15" customHeight="1">
      <c r="C188" s="201" t="s">
        <v>68</v>
      </c>
      <c r="D188" s="193"/>
      <c r="E188" s="3"/>
      <c r="F188" s="1">
        <v>0</v>
      </c>
      <c r="H188" s="51">
        <v>0</v>
      </c>
      <c r="I188" s="51">
        <v>0</v>
      </c>
      <c r="J188" s="51">
        <v>0</v>
      </c>
      <c r="K188" s="51">
        <v>0</v>
      </c>
      <c r="L188" s="51">
        <v>0</v>
      </c>
      <c r="M188" s="217"/>
      <c r="N188" s="292"/>
      <c r="Y188" s="183" t="s">
        <v>21</v>
      </c>
      <c r="Z188" s="184" t="str">
        <f t="shared" si="102"/>
        <v>Equipment / Furniture</v>
      </c>
      <c r="AA188" s="187"/>
      <c r="AB188" s="187">
        <f t="shared" si="103"/>
        <v>0</v>
      </c>
      <c r="AC188" s="187">
        <f t="shared" si="93"/>
        <v>0</v>
      </c>
      <c r="AD188" s="187">
        <f t="shared" si="94"/>
        <v>0</v>
      </c>
      <c r="AE188" s="187">
        <f t="shared" si="95"/>
        <v>0</v>
      </c>
      <c r="AF188" s="187">
        <f t="shared" si="96"/>
        <v>0</v>
      </c>
      <c r="AG188" s="187">
        <f t="shared" si="105"/>
        <v>0</v>
      </c>
      <c r="AH188" s="187">
        <f t="shared" si="106"/>
        <v>0</v>
      </c>
      <c r="AI188" s="187">
        <f t="shared" si="107"/>
        <v>0</v>
      </c>
      <c r="AJ188" s="187">
        <f t="shared" si="108"/>
        <v>0</v>
      </c>
      <c r="AK188" s="187">
        <f t="shared" si="109"/>
        <v>0</v>
      </c>
      <c r="AL188" s="194"/>
      <c r="AM188" s="163"/>
      <c r="AN188" s="163"/>
      <c r="AO188" s="163"/>
      <c r="AP188" s="163"/>
      <c r="AQ188" s="163"/>
      <c r="AR188" s="163"/>
      <c r="AS188" s="163"/>
      <c r="AT188" s="163"/>
      <c r="AU188" s="163"/>
      <c r="AV188" s="163"/>
      <c r="AW188" s="163"/>
      <c r="AX188" s="163"/>
      <c r="AY188" s="163"/>
      <c r="AZ188" s="165"/>
      <c r="BA188" s="165"/>
      <c r="BB188" s="165"/>
      <c r="BC188" s="165"/>
      <c r="BD188" s="165"/>
      <c r="BE188" s="165"/>
    </row>
    <row r="189" spans="3:57" ht="15" customHeight="1">
      <c r="C189" s="201" t="s">
        <v>174</v>
      </c>
      <c r="D189" s="193"/>
      <c r="E189" s="3"/>
      <c r="F189" s="1">
        <v>0</v>
      </c>
      <c r="H189" s="51">
        <v>0</v>
      </c>
      <c r="I189" s="51">
        <v>0</v>
      </c>
      <c r="J189" s="51">
        <v>0</v>
      </c>
      <c r="K189" s="51">
        <v>0</v>
      </c>
      <c r="L189" s="51">
        <v>0</v>
      </c>
      <c r="M189" s="217"/>
      <c r="N189" s="292"/>
      <c r="Y189" s="183" t="s">
        <v>21</v>
      </c>
      <c r="Z189" s="184" t="str">
        <f t="shared" si="102"/>
        <v>Security Services</v>
      </c>
      <c r="AA189" s="187"/>
      <c r="AB189" s="187">
        <f t="shared" si="103"/>
        <v>0</v>
      </c>
      <c r="AC189" s="187">
        <f t="shared" si="93"/>
        <v>0</v>
      </c>
      <c r="AD189" s="187">
        <f t="shared" si="94"/>
        <v>0</v>
      </c>
      <c r="AE189" s="187">
        <f t="shared" si="95"/>
        <v>0</v>
      </c>
      <c r="AF189" s="187">
        <f t="shared" si="96"/>
        <v>0</v>
      </c>
      <c r="AG189" s="187">
        <f t="shared" si="105"/>
        <v>0</v>
      </c>
      <c r="AH189" s="187">
        <f t="shared" si="106"/>
        <v>0</v>
      </c>
      <c r="AI189" s="187">
        <f t="shared" si="107"/>
        <v>0</v>
      </c>
      <c r="AJ189" s="187">
        <f t="shared" si="108"/>
        <v>0</v>
      </c>
      <c r="AK189" s="187">
        <f t="shared" si="109"/>
        <v>0</v>
      </c>
      <c r="AL189" s="194"/>
      <c r="AM189" s="163"/>
      <c r="AN189" s="163"/>
      <c r="AO189" s="163"/>
      <c r="AP189" s="163"/>
      <c r="AQ189" s="163"/>
      <c r="AR189" s="163"/>
      <c r="AS189" s="163"/>
      <c r="AT189" s="163"/>
      <c r="AU189" s="163"/>
      <c r="AV189" s="163"/>
      <c r="AW189" s="163"/>
      <c r="AX189" s="163"/>
      <c r="AY189" s="163"/>
      <c r="AZ189" s="165"/>
      <c r="BA189" s="165"/>
      <c r="BB189" s="165"/>
      <c r="BC189" s="165"/>
      <c r="BD189" s="165"/>
      <c r="BE189" s="165"/>
    </row>
    <row r="190" spans="3:57" ht="15" customHeight="1">
      <c r="C190" s="201" t="s">
        <v>85</v>
      </c>
      <c r="D190" s="193"/>
      <c r="E190" s="3"/>
      <c r="F190" s="1">
        <v>0</v>
      </c>
      <c r="H190" s="51">
        <v>0</v>
      </c>
      <c r="I190" s="51">
        <v>0</v>
      </c>
      <c r="J190" s="51">
        <v>0</v>
      </c>
      <c r="K190" s="51">
        <v>0</v>
      </c>
      <c r="L190" s="51">
        <v>0</v>
      </c>
      <c r="M190" s="217"/>
      <c r="N190" s="292"/>
      <c r="Y190" s="183" t="s">
        <v>21</v>
      </c>
      <c r="Z190" s="184" t="str">
        <f t="shared" si="102"/>
        <v>Utilities</v>
      </c>
      <c r="AA190" s="187"/>
      <c r="AB190" s="187">
        <f t="shared" si="103"/>
        <v>0</v>
      </c>
      <c r="AC190" s="187">
        <f t="shared" si="93"/>
        <v>0</v>
      </c>
      <c r="AD190" s="187">
        <f t="shared" si="94"/>
        <v>0</v>
      </c>
      <c r="AE190" s="187">
        <f t="shared" si="95"/>
        <v>0</v>
      </c>
      <c r="AF190" s="187">
        <f t="shared" si="96"/>
        <v>0</v>
      </c>
      <c r="AG190" s="187">
        <f t="shared" si="105"/>
        <v>0</v>
      </c>
      <c r="AH190" s="187">
        <f t="shared" si="106"/>
        <v>0</v>
      </c>
      <c r="AI190" s="187">
        <f t="shared" si="107"/>
        <v>0</v>
      </c>
      <c r="AJ190" s="187">
        <f t="shared" si="108"/>
        <v>0</v>
      </c>
      <c r="AK190" s="187">
        <f t="shared" si="109"/>
        <v>0</v>
      </c>
      <c r="AL190" s="194"/>
      <c r="AM190" s="163"/>
      <c r="AN190" s="163"/>
      <c r="AO190" s="163"/>
      <c r="AP190" s="163"/>
      <c r="AQ190" s="163"/>
      <c r="AR190" s="163"/>
      <c r="AS190" s="163"/>
      <c r="AT190" s="163"/>
      <c r="AU190" s="163"/>
      <c r="AV190" s="163"/>
      <c r="AW190" s="163"/>
      <c r="AX190" s="163"/>
      <c r="AY190" s="163"/>
      <c r="AZ190" s="165"/>
      <c r="BA190" s="165"/>
      <c r="BB190" s="165"/>
      <c r="BC190" s="165"/>
      <c r="BD190" s="165"/>
      <c r="BE190" s="165"/>
    </row>
    <row r="191" spans="3:57" ht="15" customHeight="1">
      <c r="C191" s="212" t="s">
        <v>168</v>
      </c>
      <c r="D191" s="193"/>
      <c r="E191" s="3"/>
      <c r="F191" s="1">
        <v>0</v>
      </c>
      <c r="H191" s="51">
        <v>0</v>
      </c>
      <c r="I191" s="51">
        <v>0</v>
      </c>
      <c r="J191" s="51">
        <v>0</v>
      </c>
      <c r="K191" s="51">
        <v>0</v>
      </c>
      <c r="L191" s="51">
        <v>0</v>
      </c>
      <c r="M191" s="217"/>
      <c r="N191" s="292"/>
      <c r="Y191" s="183" t="s">
        <v>21</v>
      </c>
      <c r="Z191" s="184" t="str">
        <f t="shared" si="102"/>
        <v>Custom Facilities Operations #1</v>
      </c>
      <c r="AA191" s="187"/>
      <c r="AB191" s="187">
        <f t="shared" si="103"/>
        <v>0</v>
      </c>
      <c r="AC191" s="187">
        <f t="shared" si="93"/>
        <v>0</v>
      </c>
      <c r="AD191" s="187">
        <f t="shared" si="94"/>
        <v>0</v>
      </c>
      <c r="AE191" s="187">
        <f t="shared" si="95"/>
        <v>0</v>
      </c>
      <c r="AF191" s="187">
        <f t="shared" si="96"/>
        <v>0</v>
      </c>
      <c r="AG191" s="187">
        <f t="shared" si="105"/>
        <v>0</v>
      </c>
      <c r="AH191" s="187">
        <f t="shared" si="106"/>
        <v>0</v>
      </c>
      <c r="AI191" s="187">
        <f t="shared" si="107"/>
        <v>0</v>
      </c>
      <c r="AJ191" s="187">
        <f t="shared" si="108"/>
        <v>0</v>
      </c>
      <c r="AK191" s="187">
        <f t="shared" si="109"/>
        <v>0</v>
      </c>
      <c r="AL191" s="194"/>
      <c r="AM191" s="163"/>
      <c r="AN191" s="163"/>
      <c r="AO191" s="163"/>
      <c r="AP191" s="163"/>
      <c r="AQ191" s="163"/>
      <c r="AR191" s="163"/>
      <c r="AS191" s="163"/>
      <c r="AT191" s="163"/>
      <c r="AU191" s="163"/>
      <c r="AV191" s="163"/>
      <c r="AW191" s="163"/>
      <c r="AX191" s="163"/>
      <c r="AY191" s="163"/>
      <c r="AZ191" s="165"/>
      <c r="BA191" s="165"/>
      <c r="BB191" s="165"/>
      <c r="BC191" s="165"/>
      <c r="BD191" s="165"/>
      <c r="BE191" s="165"/>
    </row>
    <row r="192" spans="3:57" ht="15" customHeight="1">
      <c r="C192" s="212" t="s">
        <v>169</v>
      </c>
      <c r="D192" s="193"/>
      <c r="E192" s="3"/>
      <c r="F192" s="1">
        <v>0</v>
      </c>
      <c r="H192" s="51">
        <v>0</v>
      </c>
      <c r="I192" s="51">
        <v>0</v>
      </c>
      <c r="J192" s="51">
        <v>0</v>
      </c>
      <c r="K192" s="51">
        <v>0</v>
      </c>
      <c r="L192" s="51">
        <v>0</v>
      </c>
      <c r="M192" s="217"/>
      <c r="N192" s="292"/>
      <c r="Y192" s="183" t="s">
        <v>21</v>
      </c>
      <c r="Z192" s="184" t="str">
        <f t="shared" si="102"/>
        <v>Custom Facilities Operations #2</v>
      </c>
      <c r="AA192" s="187"/>
      <c r="AB192" s="187">
        <f t="shared" si="103"/>
        <v>0</v>
      </c>
      <c r="AC192" s="187">
        <f t="shared" si="93"/>
        <v>0</v>
      </c>
      <c r="AD192" s="187">
        <f t="shared" si="94"/>
        <v>0</v>
      </c>
      <c r="AE192" s="187">
        <f t="shared" si="95"/>
        <v>0</v>
      </c>
      <c r="AF192" s="187">
        <f t="shared" si="96"/>
        <v>0</v>
      </c>
      <c r="AG192" s="187">
        <f t="shared" si="105"/>
        <v>0</v>
      </c>
      <c r="AH192" s="187">
        <f t="shared" si="106"/>
        <v>0</v>
      </c>
      <c r="AI192" s="187">
        <f t="shared" si="107"/>
        <v>0</v>
      </c>
      <c r="AJ192" s="187">
        <f t="shared" si="108"/>
        <v>0</v>
      </c>
      <c r="AK192" s="187">
        <f t="shared" si="109"/>
        <v>0</v>
      </c>
      <c r="AL192" s="194"/>
      <c r="AM192" s="163"/>
      <c r="AN192" s="163"/>
      <c r="AO192" s="163"/>
      <c r="AP192" s="163"/>
      <c r="AQ192" s="163"/>
      <c r="AR192" s="163"/>
      <c r="AS192" s="163"/>
      <c r="AT192" s="163"/>
      <c r="AU192" s="163"/>
      <c r="AV192" s="163"/>
      <c r="AW192" s="163"/>
      <c r="AX192" s="163"/>
      <c r="AY192" s="163"/>
      <c r="AZ192" s="165"/>
      <c r="BA192" s="165"/>
      <c r="BB192" s="165"/>
      <c r="BC192" s="165"/>
      <c r="BD192" s="165"/>
      <c r="BE192" s="165"/>
    </row>
    <row r="193" spans="3:57" ht="15" customHeight="1">
      <c r="C193" s="212" t="s">
        <v>170</v>
      </c>
      <c r="D193" s="193"/>
      <c r="E193" s="3"/>
      <c r="F193" s="1">
        <v>0</v>
      </c>
      <c r="H193" s="51">
        <v>0</v>
      </c>
      <c r="I193" s="51">
        <v>0</v>
      </c>
      <c r="J193" s="51">
        <v>0</v>
      </c>
      <c r="K193" s="51">
        <v>0</v>
      </c>
      <c r="L193" s="51">
        <v>0</v>
      </c>
      <c r="M193" s="217"/>
      <c r="N193" s="292"/>
      <c r="Y193" s="183" t="s">
        <v>21</v>
      </c>
      <c r="Z193" s="184" t="str">
        <f t="shared" si="102"/>
        <v>Custom Facilities Operations #3</v>
      </c>
      <c r="AA193" s="187"/>
      <c r="AB193" s="187">
        <f t="shared" si="103"/>
        <v>0</v>
      </c>
      <c r="AC193" s="187">
        <f t="shared" si="93"/>
        <v>0</v>
      </c>
      <c r="AD193" s="187">
        <f t="shared" si="94"/>
        <v>0</v>
      </c>
      <c r="AE193" s="187">
        <f t="shared" si="95"/>
        <v>0</v>
      </c>
      <c r="AF193" s="187">
        <f t="shared" si="96"/>
        <v>0</v>
      </c>
      <c r="AG193" s="187">
        <f t="shared" si="105"/>
        <v>0</v>
      </c>
      <c r="AH193" s="187">
        <f t="shared" si="106"/>
        <v>0</v>
      </c>
      <c r="AI193" s="187">
        <f t="shared" si="107"/>
        <v>0</v>
      </c>
      <c r="AJ193" s="187">
        <f t="shared" si="108"/>
        <v>0</v>
      </c>
      <c r="AK193" s="187">
        <f t="shared" si="109"/>
        <v>0</v>
      </c>
      <c r="AL193" s="194"/>
      <c r="AM193" s="163"/>
      <c r="AN193" s="163"/>
      <c r="AO193" s="163"/>
      <c r="AP193" s="163"/>
      <c r="AQ193" s="163"/>
      <c r="AR193" s="163"/>
      <c r="AS193" s="163"/>
      <c r="AT193" s="163"/>
      <c r="AU193" s="163"/>
      <c r="AV193" s="163"/>
      <c r="AW193" s="163"/>
      <c r="AX193" s="163"/>
      <c r="AY193" s="163"/>
      <c r="AZ193" s="165"/>
      <c r="BA193" s="165"/>
      <c r="BB193" s="165"/>
      <c r="BC193" s="165"/>
      <c r="BD193" s="165"/>
      <c r="BE193" s="165"/>
    </row>
    <row r="194" spans="3:57" ht="15" customHeight="1">
      <c r="C194" s="196" t="str">
        <f>"TOTAL "&amp;C183</f>
        <v>TOTAL FACILITY OPERATION &amp; MAINTENANCE</v>
      </c>
      <c r="D194" s="193"/>
      <c r="E194" s="193"/>
      <c r="F194" s="193"/>
      <c r="H194" s="193"/>
      <c r="I194" s="193"/>
      <c r="J194" s="193"/>
      <c r="K194" s="193"/>
      <c r="L194" s="193"/>
      <c r="M194" s="217"/>
      <c r="N194" s="292"/>
      <c r="Y194" s="183" t="s">
        <v>21</v>
      </c>
      <c r="Z194" s="184" t="str">
        <f t="shared" si="102"/>
        <v>TOTAL FACILITY OPERATION &amp; MAINTENANCE</v>
      </c>
      <c r="AA194" s="187"/>
      <c r="AB194" s="187">
        <f t="shared" si="103"/>
        <v>0</v>
      </c>
      <c r="AC194" s="187">
        <f t="shared" si="93"/>
        <v>0</v>
      </c>
      <c r="AD194" s="187">
        <f t="shared" si="94"/>
        <v>0</v>
      </c>
      <c r="AE194" s="187">
        <f t="shared" si="95"/>
        <v>0</v>
      </c>
      <c r="AF194" s="187">
        <f t="shared" si="96"/>
        <v>0</v>
      </c>
      <c r="AG194" s="187">
        <f t="shared" si="105"/>
        <v>0</v>
      </c>
      <c r="AH194" s="187">
        <f t="shared" si="106"/>
        <v>0</v>
      </c>
      <c r="AI194" s="187">
        <f t="shared" si="107"/>
        <v>0</v>
      </c>
      <c r="AJ194" s="187">
        <f t="shared" si="108"/>
        <v>0</v>
      </c>
      <c r="AK194" s="187">
        <f t="shared" si="109"/>
        <v>0</v>
      </c>
      <c r="AL194" s="194"/>
      <c r="AM194" s="163"/>
      <c r="AN194" s="163"/>
      <c r="AO194" s="163"/>
      <c r="AP194" s="163"/>
      <c r="AQ194" s="163"/>
      <c r="AR194" s="163"/>
      <c r="AS194" s="163"/>
      <c r="AT194" s="163"/>
      <c r="AU194" s="163"/>
      <c r="AV194" s="163"/>
      <c r="AW194" s="163"/>
      <c r="AX194" s="163"/>
      <c r="AY194" s="163"/>
      <c r="AZ194" s="165"/>
      <c r="BA194" s="165"/>
      <c r="BB194" s="165"/>
      <c r="BC194" s="165"/>
      <c r="BD194" s="165"/>
      <c r="BE194" s="165"/>
    </row>
    <row r="195" spans="3:57" ht="6" customHeight="1">
      <c r="C195" s="196"/>
      <c r="D195" s="193"/>
      <c r="E195" s="193"/>
      <c r="F195" s="193"/>
      <c r="H195" s="193"/>
      <c r="I195" s="193"/>
      <c r="J195" s="193"/>
      <c r="K195" s="193"/>
      <c r="L195" s="193"/>
      <c r="M195" s="217"/>
      <c r="N195" s="352"/>
      <c r="Y195" s="183" t="s">
        <v>21</v>
      </c>
      <c r="Z195" s="184">
        <f t="shared" si="102"/>
        <v>0</v>
      </c>
      <c r="AA195" s="187"/>
      <c r="AB195" s="187">
        <f t="shared" si="103"/>
        <v>0</v>
      </c>
      <c r="AC195" s="187">
        <f t="shared" si="93"/>
        <v>0</v>
      </c>
      <c r="AD195" s="187">
        <f t="shared" si="94"/>
        <v>0</v>
      </c>
      <c r="AE195" s="187">
        <f t="shared" si="95"/>
        <v>0</v>
      </c>
      <c r="AF195" s="187">
        <f t="shared" si="96"/>
        <v>0</v>
      </c>
      <c r="AG195" s="187">
        <f t="shared" si="105"/>
        <v>0</v>
      </c>
      <c r="AH195" s="187">
        <f t="shared" si="106"/>
        <v>0</v>
      </c>
      <c r="AI195" s="187">
        <f t="shared" si="107"/>
        <v>0</v>
      </c>
      <c r="AJ195" s="187">
        <f t="shared" si="108"/>
        <v>0</v>
      </c>
      <c r="AK195" s="187">
        <f t="shared" si="109"/>
        <v>0</v>
      </c>
      <c r="AL195" s="194"/>
      <c r="AM195" s="163"/>
      <c r="AN195" s="163"/>
      <c r="AO195" s="163"/>
      <c r="AP195" s="163"/>
      <c r="AQ195" s="163"/>
      <c r="AR195" s="163"/>
      <c r="AS195" s="163"/>
      <c r="AT195" s="163"/>
      <c r="AU195" s="163"/>
      <c r="AV195" s="163"/>
      <c r="AW195" s="163"/>
      <c r="AX195" s="163"/>
      <c r="AY195" s="163"/>
      <c r="AZ195" s="165"/>
      <c r="BA195" s="165"/>
      <c r="BB195" s="165"/>
      <c r="BC195" s="165"/>
      <c r="BD195" s="165"/>
      <c r="BE195" s="165"/>
    </row>
    <row r="196" spans="3:57" ht="15" customHeight="1">
      <c r="C196" s="81" t="s">
        <v>171</v>
      </c>
      <c r="D196" s="193"/>
      <c r="E196" s="3"/>
      <c r="F196" s="1">
        <v>0</v>
      </c>
      <c r="H196" s="51">
        <v>0</v>
      </c>
      <c r="I196" s="51">
        <v>0</v>
      </c>
      <c r="J196" s="51">
        <v>0</v>
      </c>
      <c r="K196" s="51">
        <v>0</v>
      </c>
      <c r="L196" s="51">
        <v>0</v>
      </c>
      <c r="M196" s="217"/>
      <c r="N196" s="292"/>
      <c r="Y196" s="183" t="s">
        <v>21</v>
      </c>
      <c r="Z196" s="184" t="str">
        <f t="shared" si="102"/>
        <v>RESERVES / CONTIGENCY</v>
      </c>
      <c r="AA196" s="187"/>
      <c r="AB196" s="187">
        <f t="shared" si="103"/>
        <v>0</v>
      </c>
      <c r="AC196" s="187">
        <f t="shared" si="93"/>
        <v>0</v>
      </c>
      <c r="AD196" s="187">
        <f t="shared" si="94"/>
        <v>0</v>
      </c>
      <c r="AE196" s="187">
        <f t="shared" si="95"/>
        <v>0</v>
      </c>
      <c r="AF196" s="187">
        <f t="shared" si="96"/>
        <v>0</v>
      </c>
      <c r="AG196" s="187">
        <f t="shared" si="105"/>
        <v>0</v>
      </c>
      <c r="AH196" s="187">
        <f t="shared" si="106"/>
        <v>0</v>
      </c>
      <c r="AI196" s="187">
        <f t="shared" si="107"/>
        <v>0</v>
      </c>
      <c r="AJ196" s="187">
        <f t="shared" si="108"/>
        <v>0</v>
      </c>
      <c r="AK196" s="187">
        <f t="shared" si="109"/>
        <v>0</v>
      </c>
      <c r="AL196" s="194"/>
      <c r="AM196" s="163"/>
      <c r="AN196" s="163"/>
      <c r="AO196" s="163"/>
      <c r="AP196" s="163"/>
      <c r="AQ196" s="163"/>
      <c r="AR196" s="163"/>
      <c r="AS196" s="163"/>
      <c r="AT196" s="163"/>
      <c r="AU196" s="163"/>
      <c r="AV196" s="163"/>
      <c r="AW196" s="163"/>
      <c r="AX196" s="163"/>
      <c r="AY196" s="163"/>
      <c r="AZ196" s="165"/>
      <c r="BA196" s="165"/>
      <c r="BB196" s="165"/>
      <c r="BC196" s="165"/>
      <c r="BD196" s="165"/>
      <c r="BE196" s="165"/>
    </row>
    <row r="197" spans="3:57" ht="6" customHeight="1">
      <c r="C197" s="81"/>
      <c r="D197" s="193"/>
      <c r="E197" s="193"/>
      <c r="F197" s="193"/>
      <c r="H197" s="193"/>
      <c r="I197" s="193"/>
      <c r="J197" s="193"/>
      <c r="K197" s="193"/>
      <c r="L197" s="193"/>
      <c r="M197" s="217"/>
      <c r="N197" s="352"/>
      <c r="Y197" s="183" t="s">
        <v>21</v>
      </c>
      <c r="Z197" s="184">
        <f t="shared" si="102"/>
        <v>0</v>
      </c>
      <c r="AA197" s="187"/>
      <c r="AB197" s="187">
        <f t="shared" si="103"/>
        <v>0</v>
      </c>
      <c r="AC197" s="187">
        <f t="shared" si="93"/>
        <v>0</v>
      </c>
      <c r="AD197" s="187">
        <f t="shared" si="94"/>
        <v>0</v>
      </c>
      <c r="AE197" s="187">
        <f t="shared" si="95"/>
        <v>0</v>
      </c>
      <c r="AF197" s="187">
        <f t="shared" si="96"/>
        <v>0</v>
      </c>
      <c r="AG197" s="187">
        <f t="shared" si="105"/>
        <v>0</v>
      </c>
      <c r="AH197" s="187">
        <f t="shared" si="106"/>
        <v>0</v>
      </c>
      <c r="AI197" s="187">
        <f t="shared" si="107"/>
        <v>0</v>
      </c>
      <c r="AJ197" s="187">
        <f t="shared" si="108"/>
        <v>0</v>
      </c>
      <c r="AK197" s="187">
        <f t="shared" si="109"/>
        <v>0</v>
      </c>
      <c r="AL197" s="194"/>
      <c r="AM197" s="163"/>
      <c r="AN197" s="163"/>
      <c r="AO197" s="163"/>
      <c r="AP197" s="163"/>
      <c r="AQ197" s="163"/>
      <c r="AR197" s="163"/>
      <c r="AS197" s="163"/>
      <c r="AT197" s="163"/>
      <c r="AU197" s="163"/>
      <c r="AV197" s="163"/>
      <c r="AW197" s="163"/>
      <c r="AX197" s="163"/>
      <c r="AY197" s="163"/>
      <c r="AZ197" s="165"/>
      <c r="BA197" s="165"/>
      <c r="BB197" s="165"/>
      <c r="BC197" s="165"/>
      <c r="BD197" s="165"/>
      <c r="BE197" s="165"/>
    </row>
    <row r="198" spans="3:57" ht="15" customHeight="1">
      <c r="C198" s="206" t="s">
        <v>87</v>
      </c>
      <c r="D198" s="193"/>
      <c r="E198" s="193"/>
      <c r="F198" s="193"/>
      <c r="H198" s="193"/>
      <c r="I198" s="193"/>
      <c r="J198" s="193"/>
      <c r="K198" s="193"/>
      <c r="L198" s="193"/>
      <c r="M198" s="217"/>
      <c r="N198" s="292"/>
      <c r="Y198" s="183" t="s">
        <v>21</v>
      </c>
      <c r="Z198" s="184" t="str">
        <f t="shared" si="102"/>
        <v>TOTAL EXPENSES</v>
      </c>
      <c r="AA198" s="187"/>
      <c r="AB198" s="187">
        <f t="shared" si="103"/>
        <v>0</v>
      </c>
      <c r="AC198" s="187">
        <f t="shared" si="93"/>
        <v>0</v>
      </c>
      <c r="AD198" s="187">
        <f t="shared" si="94"/>
        <v>0</v>
      </c>
      <c r="AE198" s="187">
        <f t="shared" si="95"/>
        <v>0</v>
      </c>
      <c r="AF198" s="187">
        <f t="shared" si="96"/>
        <v>0</v>
      </c>
      <c r="AG198" s="187">
        <f t="shared" si="105"/>
        <v>0</v>
      </c>
      <c r="AH198" s="187">
        <f t="shared" si="106"/>
        <v>0</v>
      </c>
      <c r="AI198" s="187">
        <f t="shared" si="107"/>
        <v>0</v>
      </c>
      <c r="AJ198" s="187">
        <f t="shared" si="108"/>
        <v>0</v>
      </c>
      <c r="AK198" s="187">
        <f t="shared" si="109"/>
        <v>0</v>
      </c>
      <c r="AL198" s="194"/>
      <c r="AM198" s="163"/>
      <c r="AN198" s="163"/>
      <c r="AO198" s="163"/>
      <c r="AP198" s="163"/>
      <c r="AQ198" s="163"/>
      <c r="AR198" s="163"/>
      <c r="AS198" s="163"/>
      <c r="AT198" s="163"/>
      <c r="AU198" s="163"/>
      <c r="AV198" s="163"/>
      <c r="AW198" s="163"/>
      <c r="AX198" s="163"/>
      <c r="AY198" s="163"/>
      <c r="AZ198" s="165"/>
      <c r="BA198" s="165"/>
      <c r="BB198" s="165"/>
      <c r="BC198" s="165"/>
      <c r="BD198" s="165"/>
      <c r="BE198" s="165"/>
    </row>
    <row r="199" spans="3:57">
      <c r="C199" s="206" t="s">
        <v>178</v>
      </c>
      <c r="E199" s="193"/>
      <c r="F199" s="193"/>
      <c r="M199" s="217"/>
      <c r="N199" s="292"/>
      <c r="Y199" s="183" t="s">
        <v>21</v>
      </c>
      <c r="Z199" s="184" t="str">
        <f t="shared" si="102"/>
        <v>NET OPERATING INCOME (before Depreciation)</v>
      </c>
      <c r="AA199" s="187"/>
      <c r="AB199" s="187">
        <f t="shared" ref="AB199:AB204" si="110">F199+SUM(F199*H199)</f>
        <v>0</v>
      </c>
      <c r="AC199" s="187">
        <f t="shared" ref="AC199:AF204" si="111">AB199+SUM(AB199*I199)</f>
        <v>0</v>
      </c>
      <c r="AD199" s="187">
        <f t="shared" si="111"/>
        <v>0</v>
      </c>
      <c r="AE199" s="187">
        <f t="shared" si="111"/>
        <v>0</v>
      </c>
      <c r="AF199" s="187">
        <f t="shared" si="111"/>
        <v>0</v>
      </c>
      <c r="AG199" s="187">
        <f t="shared" ref="AG199:AG204" si="112">AF199+SUM(AF199*M199)</f>
        <v>0</v>
      </c>
      <c r="AH199" s="187">
        <f t="shared" ref="AH199:AH204" si="113">AG199+SUM(AG199*N199)</f>
        <v>0</v>
      </c>
      <c r="AI199" s="187">
        <f t="shared" ref="AI199:AI204" si="114">AH199+SUM(AH199*O199)</f>
        <v>0</v>
      </c>
      <c r="AJ199" s="187">
        <f t="shared" ref="AJ199:AJ204" si="115">AI199+SUM(AI199*P199)</f>
        <v>0</v>
      </c>
      <c r="AK199" s="187">
        <f t="shared" ref="AK199:AK204" si="116">AJ199+SUM(AJ199*Q199)</f>
        <v>0</v>
      </c>
      <c r="AL199" s="194"/>
      <c r="AM199" s="163"/>
      <c r="AN199" s="163"/>
      <c r="AO199" s="163"/>
      <c r="AP199" s="163"/>
      <c r="AQ199" s="163"/>
      <c r="AR199" s="163"/>
      <c r="AS199" s="163"/>
      <c r="AT199" s="163"/>
      <c r="AU199" s="163"/>
      <c r="AV199" s="163"/>
      <c r="AW199" s="163"/>
      <c r="AX199" s="163"/>
      <c r="AY199" s="163"/>
      <c r="AZ199" s="165"/>
      <c r="BA199" s="165"/>
      <c r="BB199" s="165"/>
      <c r="BC199" s="165"/>
      <c r="BD199" s="165"/>
      <c r="BE199" s="165"/>
    </row>
    <row r="200" spans="3:57" ht="6" customHeight="1">
      <c r="C200" s="206"/>
      <c r="E200" s="193"/>
      <c r="F200" s="193"/>
      <c r="M200" s="217"/>
      <c r="N200" s="352"/>
      <c r="Y200" s="183" t="s">
        <v>21</v>
      </c>
      <c r="Z200" s="184">
        <f t="shared" si="102"/>
        <v>0</v>
      </c>
      <c r="AA200" s="187"/>
      <c r="AB200" s="187">
        <f t="shared" si="110"/>
        <v>0</v>
      </c>
      <c r="AC200" s="187">
        <f t="shared" si="111"/>
        <v>0</v>
      </c>
      <c r="AD200" s="187">
        <f t="shared" si="111"/>
        <v>0</v>
      </c>
      <c r="AE200" s="187">
        <f t="shared" si="111"/>
        <v>0</v>
      </c>
      <c r="AF200" s="187">
        <f t="shared" si="111"/>
        <v>0</v>
      </c>
      <c r="AG200" s="187">
        <f t="shared" si="112"/>
        <v>0</v>
      </c>
      <c r="AH200" s="187">
        <f t="shared" si="113"/>
        <v>0</v>
      </c>
      <c r="AI200" s="187">
        <f t="shared" si="114"/>
        <v>0</v>
      </c>
      <c r="AJ200" s="187">
        <f t="shared" si="115"/>
        <v>0</v>
      </c>
      <c r="AK200" s="187">
        <f t="shared" si="116"/>
        <v>0</v>
      </c>
      <c r="AL200" s="194"/>
      <c r="AM200" s="163"/>
      <c r="AN200" s="163"/>
      <c r="AO200" s="163"/>
      <c r="AP200" s="163"/>
      <c r="AQ200" s="163"/>
      <c r="AR200" s="163"/>
      <c r="AS200" s="163"/>
      <c r="AT200" s="163"/>
      <c r="AU200" s="163"/>
      <c r="AV200" s="163"/>
      <c r="AW200" s="163"/>
      <c r="AX200" s="163"/>
      <c r="AY200" s="163"/>
      <c r="AZ200" s="165"/>
      <c r="BA200" s="165"/>
      <c r="BB200" s="165"/>
      <c r="BC200" s="165"/>
      <c r="BD200" s="165"/>
      <c r="BE200" s="165"/>
    </row>
    <row r="201" spans="3:57">
      <c r="C201" s="81" t="s">
        <v>86</v>
      </c>
      <c r="D201" s="193"/>
      <c r="E201" s="3"/>
      <c r="F201" s="1">
        <v>0</v>
      </c>
      <c r="H201" s="51">
        <v>0</v>
      </c>
      <c r="I201" s="51">
        <v>0</v>
      </c>
      <c r="J201" s="51">
        <v>0</v>
      </c>
      <c r="K201" s="51">
        <v>0</v>
      </c>
      <c r="L201" s="51">
        <v>0</v>
      </c>
      <c r="M201" s="217"/>
      <c r="N201" s="292"/>
      <c r="Y201" s="183" t="s">
        <v>21</v>
      </c>
      <c r="Z201" s="184" t="str">
        <f t="shared" si="102"/>
        <v>DEPRECIATION &amp; AMORTIZATION</v>
      </c>
      <c r="AA201" s="187"/>
      <c r="AB201" s="187">
        <f t="shared" si="110"/>
        <v>0</v>
      </c>
      <c r="AC201" s="187">
        <f t="shared" si="111"/>
        <v>0</v>
      </c>
      <c r="AD201" s="187">
        <f t="shared" si="111"/>
        <v>0</v>
      </c>
      <c r="AE201" s="187">
        <f t="shared" si="111"/>
        <v>0</v>
      </c>
      <c r="AF201" s="187">
        <f t="shared" si="111"/>
        <v>0</v>
      </c>
      <c r="AG201" s="187">
        <f t="shared" si="112"/>
        <v>0</v>
      </c>
      <c r="AH201" s="187">
        <f t="shared" si="113"/>
        <v>0</v>
      </c>
      <c r="AI201" s="187">
        <f t="shared" si="114"/>
        <v>0</v>
      </c>
      <c r="AJ201" s="187">
        <f t="shared" si="115"/>
        <v>0</v>
      </c>
      <c r="AK201" s="187">
        <f t="shared" si="116"/>
        <v>0</v>
      </c>
      <c r="AL201" s="194"/>
      <c r="AM201" s="163"/>
      <c r="AN201" s="163"/>
      <c r="AO201" s="163"/>
      <c r="AP201" s="163"/>
      <c r="AQ201" s="163"/>
      <c r="AR201" s="163"/>
      <c r="AS201" s="163"/>
      <c r="AT201" s="163"/>
      <c r="AU201" s="163"/>
      <c r="AV201" s="163"/>
      <c r="AW201" s="163"/>
      <c r="AX201" s="163"/>
      <c r="AY201" s="163"/>
      <c r="AZ201" s="165"/>
      <c r="BA201" s="165"/>
      <c r="BB201" s="165"/>
      <c r="BC201" s="165"/>
      <c r="BD201" s="165"/>
      <c r="BE201" s="165"/>
    </row>
    <row r="202" spans="3:57" ht="6" customHeight="1">
      <c r="C202" s="206"/>
      <c r="E202" s="193"/>
      <c r="F202" s="193"/>
      <c r="M202" s="217"/>
      <c r="Y202" s="183" t="s">
        <v>21</v>
      </c>
      <c r="Z202" s="184">
        <f t="shared" si="102"/>
        <v>0</v>
      </c>
      <c r="AA202" s="187"/>
      <c r="AB202" s="187">
        <f t="shared" si="110"/>
        <v>0</v>
      </c>
      <c r="AC202" s="187">
        <f t="shared" si="111"/>
        <v>0</v>
      </c>
      <c r="AD202" s="187">
        <f t="shared" si="111"/>
        <v>0</v>
      </c>
      <c r="AE202" s="187">
        <f t="shared" si="111"/>
        <v>0</v>
      </c>
      <c r="AF202" s="187">
        <f t="shared" si="111"/>
        <v>0</v>
      </c>
      <c r="AG202" s="187">
        <f t="shared" si="112"/>
        <v>0</v>
      </c>
      <c r="AH202" s="187">
        <f t="shared" si="113"/>
        <v>0</v>
      </c>
      <c r="AI202" s="187">
        <f t="shared" si="114"/>
        <v>0</v>
      </c>
      <c r="AJ202" s="187">
        <f t="shared" si="115"/>
        <v>0</v>
      </c>
      <c r="AK202" s="187">
        <f t="shared" si="116"/>
        <v>0</v>
      </c>
      <c r="AL202" s="194"/>
      <c r="AM202" s="163"/>
      <c r="AN202" s="163"/>
      <c r="AO202" s="163"/>
      <c r="AP202" s="163"/>
      <c r="AQ202" s="163"/>
      <c r="AR202" s="163"/>
      <c r="AS202" s="163"/>
      <c r="AT202" s="163"/>
      <c r="AU202" s="163"/>
      <c r="AV202" s="163"/>
      <c r="AW202" s="163"/>
      <c r="AX202" s="163"/>
      <c r="AY202" s="163"/>
      <c r="AZ202" s="165"/>
      <c r="BA202" s="165"/>
      <c r="BB202" s="165"/>
      <c r="BC202" s="165"/>
      <c r="BD202" s="165"/>
      <c r="BE202" s="165"/>
    </row>
    <row r="203" spans="3:57">
      <c r="C203" s="206" t="s">
        <v>179</v>
      </c>
      <c r="E203" s="193"/>
      <c r="F203" s="193"/>
      <c r="M203" s="217"/>
      <c r="N203" s="291"/>
      <c r="Y203" s="183" t="s">
        <v>21</v>
      </c>
      <c r="Z203" s="184" t="str">
        <f t="shared" si="102"/>
        <v>NET OPERATING INCOME (including Depreciation)</v>
      </c>
      <c r="AA203" s="187"/>
      <c r="AB203" s="187">
        <f t="shared" si="110"/>
        <v>0</v>
      </c>
      <c r="AC203" s="187">
        <f t="shared" si="111"/>
        <v>0</v>
      </c>
      <c r="AD203" s="187">
        <f t="shared" si="111"/>
        <v>0</v>
      </c>
      <c r="AE203" s="187">
        <f t="shared" si="111"/>
        <v>0</v>
      </c>
      <c r="AF203" s="187">
        <f t="shared" si="111"/>
        <v>0</v>
      </c>
      <c r="AG203" s="187">
        <f t="shared" si="112"/>
        <v>0</v>
      </c>
      <c r="AH203" s="187">
        <f t="shared" si="113"/>
        <v>0</v>
      </c>
      <c r="AI203" s="187">
        <f t="shared" si="114"/>
        <v>0</v>
      </c>
      <c r="AJ203" s="187">
        <f t="shared" si="115"/>
        <v>0</v>
      </c>
      <c r="AK203" s="187">
        <f t="shared" si="116"/>
        <v>0</v>
      </c>
      <c r="AL203" s="194"/>
      <c r="AM203" s="163"/>
      <c r="AN203" s="163"/>
      <c r="AO203" s="163"/>
      <c r="AP203" s="163"/>
      <c r="AQ203" s="163"/>
      <c r="AR203" s="163"/>
      <c r="AS203" s="163"/>
      <c r="AT203" s="163"/>
      <c r="AU203" s="163"/>
      <c r="AV203" s="163"/>
      <c r="AW203" s="163"/>
      <c r="AX203" s="163"/>
      <c r="AY203" s="163"/>
      <c r="AZ203" s="165"/>
      <c r="BA203" s="165"/>
      <c r="BB203" s="165"/>
      <c r="BC203" s="165"/>
      <c r="BD203" s="165"/>
      <c r="BE203" s="165"/>
    </row>
    <row r="204" spans="3:57" ht="15.75" thickBot="1">
      <c r="C204" s="206"/>
      <c r="E204" s="193"/>
      <c r="F204" s="193"/>
      <c r="M204" s="195"/>
      <c r="Y204" s="207" t="s">
        <v>21</v>
      </c>
      <c r="Z204" s="208">
        <f t="shared" si="102"/>
        <v>0</v>
      </c>
      <c r="AA204" s="209"/>
      <c r="AB204" s="209">
        <f t="shared" si="110"/>
        <v>0</v>
      </c>
      <c r="AC204" s="209">
        <f t="shared" si="111"/>
        <v>0</v>
      </c>
      <c r="AD204" s="209">
        <f t="shared" si="111"/>
        <v>0</v>
      </c>
      <c r="AE204" s="209">
        <f t="shared" si="111"/>
        <v>0</v>
      </c>
      <c r="AF204" s="209">
        <f t="shared" si="111"/>
        <v>0</v>
      </c>
      <c r="AG204" s="209">
        <f t="shared" si="112"/>
        <v>0</v>
      </c>
      <c r="AH204" s="209">
        <f t="shared" si="113"/>
        <v>0</v>
      </c>
      <c r="AI204" s="209">
        <f t="shared" si="114"/>
        <v>0</v>
      </c>
      <c r="AJ204" s="209">
        <f t="shared" si="115"/>
        <v>0</v>
      </c>
      <c r="AK204" s="209">
        <f t="shared" si="116"/>
        <v>0</v>
      </c>
      <c r="AL204" s="210"/>
      <c r="AM204" s="163"/>
      <c r="AN204" s="163"/>
      <c r="AO204" s="163"/>
      <c r="AP204" s="163"/>
      <c r="AQ204" s="163"/>
      <c r="AR204" s="163"/>
      <c r="AS204" s="163"/>
      <c r="AT204" s="163"/>
      <c r="AU204" s="163"/>
      <c r="AV204" s="163"/>
      <c r="AW204" s="163"/>
      <c r="AX204" s="163"/>
      <c r="AY204" s="163"/>
      <c r="AZ204" s="165"/>
      <c r="BA204" s="165"/>
      <c r="BB204" s="165"/>
      <c r="BC204" s="165"/>
      <c r="BD204" s="165"/>
      <c r="BE204" s="165"/>
    </row>
  </sheetData>
  <sheetProtection algorithmName="SHA-512" hashValue="5oTc2tZIDsDEPNBLkMvCFRDQNO0c+lMskRtWW9MCMAE0FvCSZ8WZDfH9qS2aO0gJ3TJYqFNvKg6IerXh1xdIZQ==" saltValue="PF7N4ZaYPQlIyhIQGogwow==" spinCount="100000" sheet="1" objects="1" scenarios="1" formatColumns="0" formatRows="0"/>
  <mergeCells count="6">
    <mergeCell ref="C7:N7"/>
    <mergeCell ref="C9:N9"/>
    <mergeCell ref="E12:F13"/>
    <mergeCell ref="H18:L19"/>
    <mergeCell ref="H142:L143"/>
    <mergeCell ref="H124:L125"/>
  </mergeCells>
  <conditionalFormatting sqref="E21:F23 E27:F29 E33:F35 E49:F54 E56:F56 E60:F68 E70:F70 E74:F75 E79:F82 E86:F88 E159:F180 E184:F193 E196:F196 E201:F201 E39:F45 E144:F155">
    <cfRule type="expression" dxfId="100" priority="1">
      <formula>$E21=1</formula>
    </cfRule>
    <cfRule type="expression" dxfId="99" priority="2">
      <formula>$E21=2</formula>
    </cfRule>
    <cfRule type="expression" dxfId="98" priority="3">
      <formula>$E21=3</formula>
    </cfRule>
  </conditionalFormatting>
  <dataValidations count="1">
    <dataValidation type="list" allowBlank="1" showInputMessage="1" showErrorMessage="1" sqref="E201 E184:E193 E56 E159:E180 E196 E21:E23 E27:E29 E33:E35 E39:E45 E70 E74:E75 E86:E88 E79:E82 E60:E68 E49:E54 E144:E155">
      <formula1>"1,2,3"</formula1>
    </dataValidation>
  </dataValidations>
  <printOptions horizontalCentered="1"/>
  <pageMargins left="0.5" right="0.25" top="0.5" bottom="0.25" header="0.3" footer="0.3"/>
  <pageSetup scale="55" orientation="landscape" r:id="rId1"/>
  <rowBreaks count="4" manualBreakCount="4">
    <brk id="72" min="1" max="14" man="1"/>
    <brk id="92" min="1" max="14" man="1"/>
    <brk id="141" min="1" max="14" man="1"/>
    <brk id="203" min="1" max="16" man="1"/>
  </rowBreaks>
  <ignoredErrors>
    <ignoredError sqref="C23 C29 C35 C45 C56:C59 C70:C73 C75:C78 C82:C85 C8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3">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3" r:id="rId5" name="Button 4">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4" r:id="rId6" name="Button 5">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5" r:id="rId7" name="Button 6">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6" r:id="rId8" name="Button 9">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mc:AlternateContent xmlns:mc="http://schemas.openxmlformats.org/markup-compatibility/2006">
          <mc:Choice Requires="x14">
            <control shapeId="75850" r:id="rId9" name="Button 74">
              <controlPr defaultSize="0" print="0" autoFill="0" autoPict="0" macro="[0]!Schools">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9" r:id="rId10" name="Button 73">
              <controlPr defaultSize="0" print="0" autoFill="0" autoPict="0" macro="[0]!Revenue">
                <anchor moveWithCells="1" sizeWithCells="1">
                  <from>
                    <xdr:col>3</xdr:col>
                    <xdr:colOff>114300</xdr:colOff>
                    <xdr:row>1</xdr:row>
                    <xdr:rowOff>0</xdr:rowOff>
                  </from>
                  <to>
                    <xdr:col>3</xdr:col>
                    <xdr:colOff>247650</xdr:colOff>
                    <xdr:row>1</xdr:row>
                    <xdr:rowOff>0</xdr:rowOff>
                  </to>
                </anchor>
              </controlPr>
            </control>
          </mc:Choice>
        </mc:AlternateContent>
        <mc:AlternateContent xmlns:mc="http://schemas.openxmlformats.org/markup-compatibility/2006">
          <mc:Choice Requires="x14">
            <control shapeId="75848" r:id="rId11" name="Button 72">
              <controlPr defaultSize="0" print="0" autoFill="0" autoPict="0" macro="[0]!Expenses">
                <anchor moveWithCells="1" sizeWithCells="1">
                  <from>
                    <xdr:col>4</xdr:col>
                    <xdr:colOff>114300</xdr:colOff>
                    <xdr:row>1</xdr:row>
                    <xdr:rowOff>0</xdr:rowOff>
                  </from>
                  <to>
                    <xdr:col>5</xdr:col>
                    <xdr:colOff>0</xdr:colOff>
                    <xdr:row>1</xdr:row>
                    <xdr:rowOff>0</xdr:rowOff>
                  </to>
                </anchor>
              </controlPr>
            </control>
          </mc:Choice>
        </mc:AlternateContent>
        <mc:AlternateContent xmlns:mc="http://schemas.openxmlformats.org/markup-compatibility/2006">
          <mc:Choice Requires="x14">
            <control shapeId="75847" r:id="rId12" name="Button 71">
              <controlPr defaultSize="0" print="0" autoFill="0" autoPict="0" macro="[0]!Grades_and_Enrollment">
                <anchor moveWithCells="1" sizeWithCells="1">
                  <from>
                    <xdr:col>3</xdr:col>
                    <xdr:colOff>0</xdr:colOff>
                    <xdr:row>1</xdr:row>
                    <xdr:rowOff>0</xdr:rowOff>
                  </from>
                  <to>
                    <xdr:col>3</xdr:col>
                    <xdr:colOff>0</xdr:colOff>
                    <xdr:row>1</xdr:row>
                    <xdr:rowOff>0</xdr:rowOff>
                  </to>
                </anchor>
              </controlPr>
            </control>
          </mc:Choice>
        </mc:AlternateContent>
        <mc:AlternateContent xmlns:mc="http://schemas.openxmlformats.org/markup-compatibility/2006">
          <mc:Choice Requires="x14">
            <control shapeId="75846" r:id="rId13" name="Button 70">
              <controlPr defaultSize="0" print="0" autoFill="0" autoPict="0">
                <anchor moveWithCells="1" sizeWithCells="1">
                  <from>
                    <xdr:col>6</xdr:col>
                    <xdr:colOff>85725</xdr:colOff>
                    <xdr:row>1</xdr:row>
                    <xdr:rowOff>0</xdr:rowOff>
                  </from>
                  <to>
                    <xdr:col>13</xdr:col>
                    <xdr:colOff>0</xdr:colOff>
                    <xdr:row>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rgb="FF006600"/>
  </sheetPr>
  <dimension ref="B2:AL203"/>
  <sheetViews>
    <sheetView view="pageBreakPreview" zoomScale="75" zoomScaleNormal="80" zoomScaleSheetLayoutView="75" workbookViewId="0">
      <pane xSplit="3" ySplit="16" topLeftCell="D17" activePane="bottomRight" state="frozen"/>
      <selection pane="topRight"/>
      <selection pane="bottomLeft"/>
      <selection pane="bottomRight" activeCell="J9" sqref="J9"/>
    </sheetView>
  </sheetViews>
  <sheetFormatPr defaultColWidth="9.140625" defaultRowHeight="15" customHeight="1"/>
  <cols>
    <col min="1" max="1" width="2.7109375" style="52" customWidth="1"/>
    <col min="2" max="2" width="58.85546875" style="52" customWidth="1"/>
    <col min="3" max="3" width="2.7109375" style="53" customWidth="1"/>
    <col min="4" max="8" width="15.7109375" style="53" customWidth="1"/>
    <col min="9" max="9" width="1.7109375" style="53" customWidth="1"/>
    <col min="10" max="10" width="46.5703125" style="89"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ht="15" hidden="1" customHeight="1"/>
    <row r="4" spans="2:22" ht="9.75" customHeight="1">
      <c r="C4" s="52"/>
    </row>
    <row r="5" spans="2:22" ht="23.25">
      <c r="B5" s="406" t="str">
        <f>X_SchoolName</f>
        <v>XYZ Charter School</v>
      </c>
      <c r="C5" s="406"/>
      <c r="D5" s="406"/>
      <c r="E5" s="406"/>
      <c r="F5" s="406"/>
      <c r="G5" s="406"/>
      <c r="H5" s="406"/>
      <c r="I5" s="406"/>
      <c r="J5" s="406"/>
    </row>
    <row r="6" spans="2:22" ht="21">
      <c r="B6" s="405" t="s">
        <v>102</v>
      </c>
      <c r="C6" s="405"/>
      <c r="D6" s="405"/>
      <c r="E6" s="405"/>
      <c r="F6" s="405"/>
      <c r="G6" s="405"/>
      <c r="H6" s="405"/>
      <c r="I6" s="405"/>
      <c r="J6" s="405"/>
    </row>
    <row r="7" spans="2:22" s="54" customFormat="1" ht="15" customHeight="1">
      <c r="B7" s="56"/>
      <c r="C7" s="53"/>
      <c r="D7" s="57"/>
      <c r="E7" s="58"/>
      <c r="F7" s="58"/>
      <c r="G7" s="58"/>
      <c r="H7" s="58"/>
      <c r="I7" s="58"/>
      <c r="J7" s="89"/>
      <c r="K7" s="52"/>
      <c r="L7" s="52"/>
      <c r="M7" s="52"/>
      <c r="N7" s="52"/>
      <c r="O7" s="52"/>
      <c r="P7" s="52"/>
      <c r="Q7" s="52"/>
      <c r="R7" s="52"/>
      <c r="S7" s="52"/>
    </row>
    <row r="8" spans="2:22" s="54" customFormat="1" ht="15" customHeight="1">
      <c r="B8" s="346" t="s">
        <v>156</v>
      </c>
      <c r="C8" s="331"/>
      <c r="D8" s="58"/>
      <c r="E8" s="58"/>
      <c r="F8" s="58"/>
      <c r="G8" s="58"/>
      <c r="H8" s="58"/>
      <c r="I8" s="57"/>
      <c r="J8" s="323" t="s">
        <v>157</v>
      </c>
      <c r="K8" s="53"/>
      <c r="L8" s="53"/>
      <c r="M8" s="53"/>
      <c r="N8" s="53"/>
      <c r="O8" s="53"/>
      <c r="P8" s="53"/>
      <c r="Q8" s="53"/>
      <c r="R8" s="53"/>
      <c r="S8" s="53"/>
      <c r="T8" s="62"/>
      <c r="U8" s="62"/>
      <c r="V8" s="62"/>
    </row>
    <row r="9" spans="2:22" s="54" customFormat="1" ht="15" customHeight="1">
      <c r="B9" s="63" t="s">
        <v>24</v>
      </c>
      <c r="C9" s="64"/>
      <c r="D9" s="65">
        <f>D90</f>
        <v>0</v>
      </c>
      <c r="E9" s="65">
        <f>E90</f>
        <v>0</v>
      </c>
      <c r="F9" s="65">
        <f>F90</f>
        <v>0</v>
      </c>
      <c r="G9" s="65">
        <f>G90</f>
        <v>0</v>
      </c>
      <c r="H9" s="65">
        <f>H90</f>
        <v>0</v>
      </c>
      <c r="I9" s="66"/>
      <c r="J9" s="287"/>
      <c r="K9" s="52"/>
      <c r="L9" s="52"/>
      <c r="M9" s="52"/>
      <c r="N9" s="52"/>
      <c r="O9" s="52"/>
      <c r="P9" s="52"/>
      <c r="Q9" s="52"/>
      <c r="R9" s="52"/>
      <c r="S9" s="52"/>
      <c r="T9" s="62"/>
      <c r="U9" s="62"/>
      <c r="V9" s="62"/>
    </row>
    <row r="10" spans="2:22" s="54" customFormat="1" ht="15" customHeight="1">
      <c r="B10" s="63" t="s">
        <v>12</v>
      </c>
      <c r="C10" s="64"/>
      <c r="D10" s="67">
        <f>D197</f>
        <v>0</v>
      </c>
      <c r="E10" s="67">
        <f>E197</f>
        <v>0</v>
      </c>
      <c r="F10" s="67">
        <f>F197</f>
        <v>0</v>
      </c>
      <c r="G10" s="67">
        <f>G197</f>
        <v>0</v>
      </c>
      <c r="H10" s="67">
        <f>H197</f>
        <v>0</v>
      </c>
      <c r="I10" s="66"/>
      <c r="J10" s="287"/>
      <c r="K10" s="52"/>
      <c r="L10" s="52"/>
      <c r="M10" s="52"/>
      <c r="N10" s="52"/>
      <c r="O10" s="52"/>
      <c r="P10" s="52"/>
      <c r="Q10" s="52"/>
      <c r="R10" s="52"/>
      <c r="S10" s="52"/>
      <c r="T10" s="62"/>
      <c r="U10" s="62"/>
      <c r="V10" s="62"/>
    </row>
    <row r="11" spans="2:22" s="54" customFormat="1" ht="15" customHeight="1">
      <c r="B11" s="63" t="s">
        <v>23</v>
      </c>
      <c r="C11" s="64"/>
      <c r="D11" s="68">
        <f>D9-D10</f>
        <v>0</v>
      </c>
      <c r="E11" s="68">
        <f>E9-E10</f>
        <v>0</v>
      </c>
      <c r="F11" s="68">
        <f>F9-F10</f>
        <v>0</v>
      </c>
      <c r="G11" s="68">
        <f>G9-G10</f>
        <v>0</v>
      </c>
      <c r="H11" s="68">
        <f>H9-H10</f>
        <v>0</v>
      </c>
      <c r="I11" s="66"/>
      <c r="J11" s="287"/>
      <c r="K11" s="52"/>
      <c r="L11" s="52"/>
      <c r="M11" s="52"/>
      <c r="N11" s="52"/>
      <c r="O11" s="52"/>
      <c r="P11" s="52"/>
      <c r="Q11" s="52"/>
      <c r="R11" s="52"/>
      <c r="S11" s="52"/>
      <c r="T11" s="62"/>
      <c r="U11" s="62"/>
      <c r="V11" s="62"/>
    </row>
    <row r="12" spans="2:22" s="54" customFormat="1" ht="15" customHeight="1">
      <c r="B12" s="63" t="s">
        <v>172</v>
      </c>
      <c r="C12" s="64"/>
      <c r="D12" s="68">
        <f>IFERROR(IF(D9&gt;0,D9/VLOOKUP("Total Enrollment",X_Enrollment,2,FALSE),0),0)</f>
        <v>0</v>
      </c>
      <c r="E12" s="68">
        <f>IFERROR(IF(E9&gt;0,E9/VLOOKUP("Total Enrollment",X_Enrollment,3,FALSE),0),0)</f>
        <v>0</v>
      </c>
      <c r="F12" s="68">
        <f>IFERROR(IF(F9&gt;0,F9/VLOOKUP("Total Enrollment",X_Enrollment,4,FALSE),0),0)</f>
        <v>0</v>
      </c>
      <c r="G12" s="68">
        <f>IFERROR(IF(G9&gt;0,G9/VLOOKUP("Total Enrollment",X_Enrollment,5,FALSE),0),0)</f>
        <v>0</v>
      </c>
      <c r="H12" s="68">
        <f>IFERROR(IF(H9&gt;0,H9/VLOOKUP("Total Enrollment",X_Enrollment,6,FALSE),0),0)</f>
        <v>0</v>
      </c>
      <c r="I12" s="66"/>
      <c r="J12" s="287"/>
      <c r="K12" s="52"/>
      <c r="L12" s="52"/>
      <c r="M12" s="52"/>
      <c r="N12" s="52"/>
      <c r="O12" s="52"/>
      <c r="P12" s="52"/>
      <c r="Q12" s="52"/>
      <c r="R12" s="52"/>
      <c r="S12" s="52"/>
      <c r="T12" s="62"/>
      <c r="U12" s="62"/>
      <c r="V12" s="62"/>
    </row>
    <row r="13" spans="2:22" s="54" customFormat="1" ht="15" customHeight="1">
      <c r="B13" s="70" t="s">
        <v>173</v>
      </c>
      <c r="C13" s="71"/>
      <c r="D13" s="68">
        <f>IFERROR(IF(D10&gt;0,D10/VLOOKUP("Total Enrollment",X_Enrollment,2,FALSE),0),0)</f>
        <v>0</v>
      </c>
      <c r="E13" s="68">
        <f>IFERROR(IF(E10&gt;0,E10/VLOOKUP("Total Enrollment",X_Enrollment,3,FALSE),0),0)</f>
        <v>0</v>
      </c>
      <c r="F13" s="68">
        <f>IFERROR(IF(F10&gt;0,F10/VLOOKUP("Total Enrollment",X_Enrollment,4,FALSE),0),0)</f>
        <v>0</v>
      </c>
      <c r="G13" s="68">
        <f>IFERROR(IF(G10&gt;0,G10/VLOOKUP("Total Enrollment",X_Enrollment,5,FALSE),0),0)</f>
        <v>0</v>
      </c>
      <c r="H13" s="68">
        <f>IFERROR(IF(H10&gt;0,H10/VLOOKUP("Total Enrollment",X_Enrollment,6,FALSE),0),0)</f>
        <v>0</v>
      </c>
      <c r="I13" s="66"/>
      <c r="J13" s="287"/>
      <c r="K13" s="52"/>
      <c r="L13" s="52"/>
      <c r="M13" s="52"/>
      <c r="N13" s="52"/>
      <c r="O13" s="52"/>
      <c r="P13" s="52"/>
      <c r="Q13" s="52"/>
      <c r="R13" s="52"/>
      <c r="S13" s="52"/>
      <c r="T13" s="62"/>
      <c r="U13" s="62"/>
      <c r="V13" s="62"/>
    </row>
    <row r="14" spans="2:22" s="54" customFormat="1" ht="15" customHeight="1">
      <c r="B14" s="72"/>
      <c r="C14" s="53"/>
      <c r="D14" s="53"/>
      <c r="E14" s="53"/>
      <c r="F14" s="53"/>
      <c r="G14" s="53"/>
      <c r="H14" s="53"/>
      <c r="I14" s="53"/>
      <c r="J14" s="89"/>
      <c r="K14" s="52"/>
      <c r="L14" s="52"/>
      <c r="M14" s="52"/>
      <c r="N14" s="52"/>
      <c r="O14" s="52"/>
      <c r="P14" s="52"/>
      <c r="Q14" s="52"/>
      <c r="R14" s="52"/>
      <c r="S14" s="52"/>
      <c r="T14" s="62"/>
      <c r="U14" s="62"/>
      <c r="V14" s="62"/>
    </row>
    <row r="15" spans="2:22" s="54" customFormat="1" ht="15" customHeight="1">
      <c r="B15" s="72"/>
      <c r="C15" s="53"/>
      <c r="D15" s="73" t="s">
        <v>151</v>
      </c>
      <c r="E15" s="60" t="s">
        <v>152</v>
      </c>
      <c r="F15" s="60" t="s">
        <v>153</v>
      </c>
      <c r="G15" s="60" t="s">
        <v>154</v>
      </c>
      <c r="H15" s="61" t="s">
        <v>155</v>
      </c>
      <c r="I15" s="66"/>
      <c r="J15" s="89"/>
      <c r="K15" s="52"/>
      <c r="L15" s="52"/>
      <c r="M15" s="52"/>
      <c r="N15" s="52"/>
      <c r="O15" s="52"/>
      <c r="P15" s="52"/>
      <c r="Q15" s="52"/>
      <c r="R15" s="52"/>
      <c r="S15" s="52"/>
      <c r="T15" s="62"/>
      <c r="U15" s="62"/>
      <c r="V15" s="62"/>
    </row>
    <row r="16" spans="2:22" s="54" customFormat="1" ht="15" customHeight="1">
      <c r="B16" s="72"/>
      <c r="C16" s="53"/>
      <c r="D16" s="74" t="str">
        <f>X_YearOne</f>
        <v>2019-20</v>
      </c>
      <c r="E16" s="75" t="str">
        <f>VLOOKUP(2,X_Years,3,FALSE)&amp;"-"&amp;RIGHT(VLOOKUP(2,X_Years,4,FALSE),2)</f>
        <v>2020-21</v>
      </c>
      <c r="F16" s="75" t="str">
        <f>VLOOKUP(2,X_Years,4,FALSE)&amp;"-"&amp;RIGHT(VLOOKUP(2,X_Years,5,FALSE),2)</f>
        <v>2021-22</v>
      </c>
      <c r="G16" s="75" t="str">
        <f>VLOOKUP(2,X_Years,5,FALSE)&amp;"-"&amp;RIGHT(VLOOKUP(2,X_Years,6,FALSE),2)</f>
        <v>2022-23</v>
      </c>
      <c r="H16" s="76" t="str">
        <f>VLOOKUP(2,X_Years,6,FALSE)&amp;"-"&amp;RIGHT(VLOOKUP(2,X_Years,7,FALSE),2)</f>
        <v>2023-24</v>
      </c>
      <c r="I16" s="66"/>
      <c r="J16" s="89"/>
      <c r="K16" s="52"/>
      <c r="L16" s="52"/>
      <c r="M16" s="52"/>
      <c r="N16" s="52"/>
      <c r="O16" s="52"/>
      <c r="P16" s="52"/>
      <c r="Q16" s="52"/>
      <c r="R16" s="52"/>
      <c r="S16" s="52"/>
      <c r="T16" s="62"/>
      <c r="U16" s="62"/>
      <c r="V16" s="62"/>
    </row>
    <row r="17" spans="2:19" s="54" customFormat="1" ht="15" customHeight="1">
      <c r="B17" s="77"/>
      <c r="C17" s="78"/>
      <c r="D17" s="78"/>
      <c r="E17" s="78"/>
      <c r="F17" s="78"/>
      <c r="G17" s="78"/>
      <c r="H17" s="78"/>
      <c r="I17" s="78"/>
      <c r="J17" s="324"/>
    </row>
    <row r="18" spans="2:19" s="54" customFormat="1" ht="15" customHeight="1">
      <c r="B18" s="347" t="str">
        <f>Assumptions!C19</f>
        <v>REVENUE</v>
      </c>
      <c r="C18" s="53"/>
      <c r="D18" s="79"/>
      <c r="E18" s="79"/>
      <c r="F18" s="79"/>
      <c r="G18" s="79"/>
      <c r="H18" s="79"/>
      <c r="I18" s="80"/>
      <c r="J18" s="89"/>
      <c r="K18" s="52"/>
      <c r="L18" s="52"/>
      <c r="M18" s="52"/>
      <c r="N18" s="52"/>
      <c r="O18" s="52"/>
      <c r="P18" s="52"/>
      <c r="Q18" s="52"/>
      <c r="R18" s="52"/>
      <c r="S18" s="52"/>
    </row>
    <row r="19" spans="2:19" s="54" customFormat="1" ht="15" customHeight="1">
      <c r="B19" s="81" t="str">
        <f>Assumptions!C20</f>
        <v>1000 - LOCAL TAXES</v>
      </c>
      <c r="C19" s="52"/>
      <c r="D19" s="79"/>
      <c r="E19" s="79"/>
      <c r="F19" s="79"/>
      <c r="G19" s="79"/>
      <c r="H19" s="79"/>
      <c r="I19" s="82"/>
      <c r="J19" s="89"/>
      <c r="K19" s="52"/>
      <c r="L19" s="52"/>
      <c r="M19" s="52"/>
      <c r="N19" s="52"/>
      <c r="O19" s="52"/>
      <c r="P19" s="52"/>
      <c r="Q19" s="52"/>
      <c r="R19" s="52"/>
      <c r="S19" s="52"/>
    </row>
    <row r="20" spans="2:19" s="54" customFormat="1" ht="15" customHeight="1">
      <c r="B20" s="83" t="str">
        <f>Assumptions!C21</f>
        <v>1100 - Local Property Tax</v>
      </c>
      <c r="C20" s="52"/>
      <c r="D20" s="84">
        <f>IF(VLOOKUP($B20,X_Assumptions,3,FALSE)=1,SUM(VLOOKUP($B20,X_AssumptionsInc,3,FALSE)*VLOOKUP("Total Enrollment",X_Enrollment,2,FALSE)),
IF(VLOOKUP($B20,X_Assumptions,3,FALSE)=2,SUM(VLOOKUP($B20,X_AssumptionsInc,3,FALSE)*X_Staffing_YR1_FTE),VLOOKUP($B20,X_AssumptionsInc,3,FALSE)))</f>
        <v>0</v>
      </c>
      <c r="E20" s="84">
        <f>IF(VLOOKUP($B20,X_Assumptions,3,FALSE)=1,SUM(VLOOKUP($B20,X_AssumptionsInc,4,FALSE)*VLOOKUP("Total Enrollment",X_Enrollment,3,FALSE)),
IF(VLOOKUP($B20,X_Assumptions,3,FALSE)=2,SUM(VLOOKUP($B20,X_AssumptionsInc,4,FALSE)*X_Staffing_YR2_FTE),VLOOKUP($B20,X_AssumptionsInc,4,FALSE)))</f>
        <v>0</v>
      </c>
      <c r="F20" s="84">
        <f>IF(VLOOKUP($B20,X_Assumptions,3,FALSE)=1,SUM(VLOOKUP($B20,X_AssumptionsInc,5,FALSE)*VLOOKUP("Total Enrollment",X_Enrollment,4,FALSE)),
IF(VLOOKUP($B20,X_Assumptions,3,FALSE)=2,SUM(VLOOKUP($B20,X_AssumptionsInc,5,FALSE)*X_Staffing_YR3_FTE),VLOOKUP($B20,X_AssumptionsInc,5,FALSE)))</f>
        <v>0</v>
      </c>
      <c r="G20" s="84">
        <f>IF(VLOOKUP($B20,X_Assumptions,3,FALSE)=1,SUM(VLOOKUP($B20,X_AssumptionsInc,6,FALSE)*VLOOKUP("Total Enrollment",X_Enrollment,5,FALSE)),
IF(VLOOKUP($B20,X_Assumptions,3,FALSE)=2,SUM(VLOOKUP($B20,X_AssumptionsInc,6,FALSE)*X_Staffing_YR4_FTE),VLOOKUP($B20,X_AssumptionsInc,6,FALSE)))</f>
        <v>0</v>
      </c>
      <c r="H20" s="84">
        <f>IF(VLOOKUP($B20,X_Assumptions,3,FALSE)=1,SUM(VLOOKUP($B20,X_AssumptionsInc,7,FALSE)*VLOOKUP("Total Enrollment",X_Enrollment,6,FALSE)),
IF(VLOOKUP($B20,X_Assumptions,3,FALSE)=2,SUM(VLOOKUP($B20,X_AssumptionsInc,7,FALSE)*X_Staffing_YR5_FTE),VLOOKUP($B20,X_AssumptionsInc,7,FALSE)))</f>
        <v>0</v>
      </c>
      <c r="I20" s="82"/>
      <c r="J20" s="287"/>
      <c r="K20" s="52"/>
      <c r="L20" s="52"/>
      <c r="M20" s="52"/>
      <c r="N20" s="52"/>
      <c r="O20" s="52"/>
      <c r="P20" s="52"/>
      <c r="Q20" s="52"/>
      <c r="R20" s="52"/>
      <c r="S20" s="52"/>
    </row>
    <row r="21" spans="2:19" s="54" customFormat="1" ht="15" customHeight="1">
      <c r="B21" s="83" t="str">
        <f>Assumptions!C22</f>
        <v>1900 - Other Local Taxes</v>
      </c>
      <c r="C21" s="52"/>
      <c r="D21" s="84">
        <f>IF(VLOOKUP($B21,X_Assumptions,3,FALSE)=1,SUM(VLOOKUP($B21,X_AssumptionsInc,3,FALSE)*VLOOKUP("Total Enrollment",X_Enrollment,2,FALSE)),
IF(VLOOKUP($B21,X_Assumptions,3,FALSE)=2,SUM(VLOOKUP($B21,X_AssumptionsInc,3,FALSE)*X_Staffing_YR1_FTE),VLOOKUP($B21,X_AssumptionsInc,3,FALSE)))</f>
        <v>0</v>
      </c>
      <c r="E21" s="84">
        <f>IF(VLOOKUP($B21,X_Assumptions,3,FALSE)=1,SUM(VLOOKUP($B21,X_AssumptionsInc,4,FALSE)*VLOOKUP("Total Enrollment",X_Enrollment,3,FALSE)),
IF(VLOOKUP($B21,X_Assumptions,3,FALSE)=2,SUM(VLOOKUP($B21,X_AssumptionsInc,4,FALSE)*X_Staffing_YR2_FTE),VLOOKUP($B21,X_AssumptionsInc,4,FALSE)))</f>
        <v>0</v>
      </c>
      <c r="F21" s="84">
        <f>IF(VLOOKUP($B21,X_Assumptions,3,FALSE)=1,SUM(VLOOKUP($B21,X_AssumptionsInc,5,FALSE)*VLOOKUP("Total Enrollment",X_Enrollment,4,FALSE)),
IF(VLOOKUP($B21,X_Assumptions,3,FALSE)=2,SUM(VLOOKUP($B21,X_AssumptionsInc,5,FALSE)*X_Staffing_YR3_FTE),VLOOKUP($B21,X_AssumptionsInc,5,FALSE)))</f>
        <v>0</v>
      </c>
      <c r="G21" s="84">
        <f>IF(VLOOKUP($B21,X_Assumptions,3,FALSE)=1,SUM(VLOOKUP($B21,X_AssumptionsInc,6,FALSE)*VLOOKUP("Total Enrollment",X_Enrollment,5,FALSE)),
IF(VLOOKUP($B21,X_Assumptions,3,FALSE)=2,SUM(VLOOKUP($B21,X_AssumptionsInc,6,FALSE)*X_Staffing_YR4_FTE),VLOOKUP($B21,X_AssumptionsInc,6,FALSE)))</f>
        <v>0</v>
      </c>
      <c r="H21" s="84">
        <f>IF(VLOOKUP($B21,X_Assumptions,3,FALSE)=1,SUM(VLOOKUP($B21,X_AssumptionsInc,7,FALSE)*VLOOKUP("Total Enrollment",X_Enrollment,6,FALSE)),
IF(VLOOKUP($B21,X_Assumptions,3,FALSE)=2,SUM(VLOOKUP($B21,X_AssumptionsInc,7,FALSE)*X_Staffing_YR5_FTE),VLOOKUP($B21,X_AssumptionsInc,7,FALSE)))</f>
        <v>0</v>
      </c>
      <c r="I21" s="82"/>
      <c r="J21" s="287"/>
      <c r="K21" s="52"/>
      <c r="L21" s="52"/>
      <c r="M21" s="52"/>
      <c r="N21" s="52"/>
      <c r="O21" s="52"/>
      <c r="P21" s="52"/>
      <c r="Q21" s="52"/>
      <c r="R21" s="52"/>
      <c r="S21" s="52"/>
    </row>
    <row r="22" spans="2:19" s="54" customFormat="1" ht="15" customHeight="1">
      <c r="B22" s="83" t="str">
        <f>Assumptions!C23</f>
        <v>Custom LOCAL TAXES</v>
      </c>
      <c r="C22" s="52"/>
      <c r="D22" s="84">
        <f>IF(VLOOKUP($B22,X_Assumptions,3,FALSE)=1,SUM(VLOOKUP($B22,X_AssumptionsInc,3,FALSE)*VLOOKUP("Total Enrollment",X_Enrollment,2,FALSE)),
IF(VLOOKUP($B22,X_Assumptions,3,FALSE)=2,SUM(VLOOKUP($B22,X_AssumptionsInc,3,FALSE)*X_Staffing_YR1_FTE),VLOOKUP($B22,X_AssumptionsInc,3,FALSE)))</f>
        <v>0</v>
      </c>
      <c r="E22" s="84">
        <f>IF(VLOOKUP($B22,X_Assumptions,3,FALSE)=1,SUM(VLOOKUP($B22,X_AssumptionsInc,4,FALSE)*VLOOKUP("Total Enrollment",X_Enrollment,3,FALSE)),
IF(VLOOKUP($B22,X_Assumptions,3,FALSE)=2,SUM(VLOOKUP($B22,X_AssumptionsInc,4,FALSE)*X_Staffing_YR2_FTE),VLOOKUP($B22,X_AssumptionsInc,4,FALSE)))</f>
        <v>0</v>
      </c>
      <c r="F22" s="84">
        <f>IF(VLOOKUP($B22,X_Assumptions,3,FALSE)=1,SUM(VLOOKUP($B22,X_AssumptionsInc,5,FALSE)*VLOOKUP("Total Enrollment",X_Enrollment,4,FALSE)),
IF(VLOOKUP($B22,X_Assumptions,3,FALSE)=2,SUM(VLOOKUP($B22,X_AssumptionsInc,5,FALSE)*X_Staffing_YR3_FTE),VLOOKUP($B22,X_AssumptionsInc,5,FALSE)))</f>
        <v>0</v>
      </c>
      <c r="G22" s="84">
        <f>IF(VLOOKUP($B22,X_Assumptions,3,FALSE)=1,SUM(VLOOKUP($B22,X_AssumptionsInc,6,FALSE)*VLOOKUP("Total Enrollment",X_Enrollment,5,FALSE)),
IF(VLOOKUP($B22,X_Assumptions,3,FALSE)=2,SUM(VLOOKUP($B22,X_AssumptionsInc,6,FALSE)*X_Staffing_YR4_FTE),VLOOKUP($B22,X_AssumptionsInc,6,FALSE)))</f>
        <v>0</v>
      </c>
      <c r="H22" s="84">
        <f>IF(VLOOKUP($B22,X_Assumptions,3,FALSE)=1,SUM(VLOOKUP($B22,X_AssumptionsInc,7,FALSE)*VLOOKUP("Total Enrollment",X_Enrollment,6,FALSE)),
IF(VLOOKUP($B22,X_Assumptions,3,FALSE)=2,SUM(VLOOKUP($B22,X_AssumptionsInc,7,FALSE)*X_Staffing_YR5_FTE),VLOOKUP($B22,X_AssumptionsInc,7,FALSE)))</f>
        <v>0</v>
      </c>
      <c r="I22" s="82"/>
      <c r="J22" s="287"/>
      <c r="K22" s="52"/>
      <c r="L22" s="52"/>
      <c r="M22" s="52"/>
      <c r="N22" s="52"/>
      <c r="O22" s="52"/>
      <c r="P22" s="52"/>
      <c r="Q22" s="52"/>
      <c r="R22" s="52"/>
      <c r="S22" s="52"/>
    </row>
    <row r="23" spans="2:19" s="54" customFormat="1" ht="15" customHeight="1" thickBot="1">
      <c r="B23" s="81" t="str">
        <f>Assumptions!C24</f>
        <v>TOTAL LOCAL TAXES</v>
      </c>
      <c r="C23" s="52"/>
      <c r="D23" s="87">
        <f>SUM(D20:D22)</f>
        <v>0</v>
      </c>
      <c r="E23" s="87">
        <f>SUM(E20:E22)</f>
        <v>0</v>
      </c>
      <c r="F23" s="87">
        <f>SUM(F20:F22)</f>
        <v>0</v>
      </c>
      <c r="G23" s="87">
        <f>SUM(G20:G22)</f>
        <v>0</v>
      </c>
      <c r="H23" s="87">
        <f>SUM(H20:H22)</f>
        <v>0</v>
      </c>
      <c r="I23" s="82"/>
      <c r="J23" s="287"/>
      <c r="K23" s="52"/>
      <c r="L23" s="52"/>
      <c r="M23" s="52"/>
      <c r="N23" s="52"/>
      <c r="O23" s="52"/>
      <c r="P23" s="52"/>
      <c r="Q23" s="52"/>
      <c r="R23" s="52"/>
      <c r="S23" s="52"/>
    </row>
    <row r="24" spans="2:19" s="54" customFormat="1" ht="6" customHeight="1" thickTop="1">
      <c r="B24" s="83"/>
      <c r="C24" s="52"/>
      <c r="D24" s="79"/>
      <c r="E24" s="79"/>
      <c r="F24" s="79"/>
      <c r="G24" s="79"/>
      <c r="H24" s="79"/>
      <c r="I24" s="82"/>
      <c r="J24" s="287"/>
      <c r="K24" s="52"/>
      <c r="L24" s="52"/>
      <c r="M24" s="52"/>
      <c r="N24" s="52"/>
      <c r="O24" s="52"/>
      <c r="P24" s="52"/>
      <c r="Q24" s="52"/>
      <c r="R24" s="52"/>
      <c r="S24" s="52"/>
    </row>
    <row r="25" spans="2:19" s="54" customFormat="1" ht="15" customHeight="1">
      <c r="B25" s="81" t="str">
        <f>Assumptions!C26</f>
        <v>2000 - LOCAL SUPPORT - NON-TAX</v>
      </c>
      <c r="C25" s="52"/>
      <c r="D25" s="79"/>
      <c r="E25" s="79"/>
      <c r="F25" s="79"/>
      <c r="G25" s="79"/>
      <c r="H25" s="79"/>
      <c r="I25" s="82"/>
      <c r="J25" s="287"/>
      <c r="K25" s="52"/>
      <c r="L25" s="52"/>
      <c r="M25" s="52"/>
      <c r="N25" s="52"/>
      <c r="O25" s="52"/>
      <c r="P25" s="52"/>
      <c r="Q25" s="52"/>
      <c r="R25" s="52"/>
      <c r="S25" s="52"/>
    </row>
    <row r="26" spans="2:19" s="54" customFormat="1" ht="15" customHeight="1">
      <c r="B26" s="83" t="str">
        <f>Assumptions!C27</f>
        <v xml:space="preserve">2200 - Sale Of Goods, Supplies, &amp; Services - Unassigned </v>
      </c>
      <c r="C26" s="52"/>
      <c r="D26" s="84">
        <f>IF(VLOOKUP($B26,X_Assumptions,3,FALSE)=1,SUM(VLOOKUP($B26,X_AssumptionsInc,3,FALSE)*VLOOKUP("Total Enrollment",X_Enrollment,2,FALSE)),
IF(VLOOKUP($B26,X_Assumptions,3,FALSE)=2,SUM(VLOOKUP($B26,X_AssumptionsInc,3,FALSE)*X_Staffing_YR1_FTE),VLOOKUP($B26,X_AssumptionsInc,3,FALSE)))</f>
        <v>0</v>
      </c>
      <c r="E26" s="84">
        <f>IF(VLOOKUP($B26,X_Assumptions,3,FALSE)=1,SUM(VLOOKUP($B26,X_AssumptionsInc,4,FALSE)*VLOOKUP("Total Enrollment",X_Enrollment,3,FALSE)),
IF(VLOOKUP($B26,X_Assumptions,3,FALSE)=2,SUM(VLOOKUP($B26,X_AssumptionsInc,4,FALSE)*X_Staffing_YR2_FTE),VLOOKUP($B26,X_AssumptionsInc,4,FALSE)))</f>
        <v>0</v>
      </c>
      <c r="F26" s="84">
        <f>IF(VLOOKUP($B26,X_Assumptions,3,FALSE)=1,SUM(VLOOKUP($B26,X_AssumptionsInc,5,FALSE)*VLOOKUP("Total Enrollment",X_Enrollment,4,FALSE)),
IF(VLOOKUP($B26,X_Assumptions,3,FALSE)=2,SUM(VLOOKUP($B26,X_AssumptionsInc,5,FALSE)*X_Staffing_YR3_FTE),VLOOKUP($B26,X_AssumptionsInc,5,FALSE)))</f>
        <v>0</v>
      </c>
      <c r="G26" s="84">
        <f>IF(VLOOKUP($B26,X_Assumptions,3,FALSE)=1,SUM(VLOOKUP($B26,X_AssumptionsInc,6,FALSE)*VLOOKUP("Total Enrollment",X_Enrollment,5,FALSE)),
IF(VLOOKUP($B26,X_Assumptions,3,FALSE)=2,SUM(VLOOKUP($B26,X_AssumptionsInc,6,FALSE)*X_Staffing_YR4_FTE),VLOOKUP($B26,X_AssumptionsInc,6,FALSE)))</f>
        <v>0</v>
      </c>
      <c r="H26" s="84">
        <f>IF(VLOOKUP($B26,X_Assumptions,3,FALSE)=1,SUM(VLOOKUP($B26,X_AssumptionsInc,7,FALSE)*VLOOKUP("Total Enrollment",X_Enrollment,6,FALSE)),
IF(VLOOKUP($B26,X_Assumptions,3,FALSE)=2,SUM(VLOOKUP($B26,X_AssumptionsInc,7,FALSE)*X_Staffing_YR5_FTE),VLOOKUP($B26,X_AssumptionsInc,7,FALSE)))</f>
        <v>0</v>
      </c>
      <c r="I26" s="82"/>
      <c r="J26" s="287"/>
      <c r="K26" s="52"/>
      <c r="L26" s="52"/>
      <c r="M26" s="52"/>
      <c r="N26" s="52"/>
      <c r="O26" s="52"/>
      <c r="P26" s="52"/>
      <c r="Q26" s="52"/>
      <c r="R26" s="52"/>
      <c r="S26" s="52"/>
    </row>
    <row r="27" spans="2:19" s="54" customFormat="1" ht="15" customHeight="1">
      <c r="B27" s="83" t="str">
        <f>Assumptions!C28</f>
        <v xml:space="preserve">2500 - Gifts Grants, and Donations (Local)   </v>
      </c>
      <c r="C27" s="52"/>
      <c r="D27" s="84">
        <f>IF(VLOOKUP($B27,X_Assumptions,3,FALSE)=1,SUM(VLOOKUP($B27,X_AssumptionsInc,3,FALSE)*VLOOKUP("Total Enrollment",X_Enrollment,2,FALSE)),
IF(VLOOKUP($B27,X_Assumptions,3,FALSE)=2,SUM(VLOOKUP($B27,X_AssumptionsInc,3,FALSE)*X_Staffing_YR1_FTE),VLOOKUP($B27,X_AssumptionsInc,3,FALSE)))</f>
        <v>0</v>
      </c>
      <c r="E27" s="84">
        <f>IF(VLOOKUP($B27,X_Assumptions,3,FALSE)=1,SUM(VLOOKUP($B27,X_AssumptionsInc,4,FALSE)*VLOOKUP("Total Enrollment",X_Enrollment,3,FALSE)),
IF(VLOOKUP($B27,X_Assumptions,3,FALSE)=2,SUM(VLOOKUP($B27,X_AssumptionsInc,4,FALSE)*X_Staffing_YR2_FTE),VLOOKUP($B27,X_AssumptionsInc,4,FALSE)))</f>
        <v>0</v>
      </c>
      <c r="F27" s="84">
        <f>IF(VLOOKUP($B27,X_Assumptions,3,FALSE)=1,SUM(VLOOKUP($B27,X_AssumptionsInc,5,FALSE)*VLOOKUP("Total Enrollment",X_Enrollment,4,FALSE)),
IF(VLOOKUP($B27,X_Assumptions,3,FALSE)=2,SUM(VLOOKUP($B27,X_AssumptionsInc,5,FALSE)*X_Staffing_YR3_FTE),VLOOKUP($B27,X_AssumptionsInc,5,FALSE)))</f>
        <v>0</v>
      </c>
      <c r="G27" s="84">
        <f>IF(VLOOKUP($B27,X_Assumptions,3,FALSE)=1,SUM(VLOOKUP($B27,X_AssumptionsInc,6,FALSE)*VLOOKUP("Total Enrollment",X_Enrollment,5,FALSE)),
IF(VLOOKUP($B27,X_Assumptions,3,FALSE)=2,SUM(VLOOKUP($B27,X_AssumptionsInc,6,FALSE)*X_Staffing_YR4_FTE),VLOOKUP($B27,X_AssumptionsInc,6,FALSE)))</f>
        <v>0</v>
      </c>
      <c r="H27" s="84">
        <f>IF(VLOOKUP($B27,X_Assumptions,3,FALSE)=1,SUM(VLOOKUP($B27,X_AssumptionsInc,7,FALSE)*VLOOKUP("Total Enrollment",X_Enrollment,6,FALSE)),
IF(VLOOKUP($B27,X_Assumptions,3,FALSE)=2,SUM(VLOOKUP($B27,X_AssumptionsInc,7,FALSE)*X_Staffing_YR5_FTE),VLOOKUP($B27,X_AssumptionsInc,7,FALSE)))</f>
        <v>0</v>
      </c>
      <c r="I27" s="82"/>
      <c r="J27" s="287"/>
      <c r="K27" s="52"/>
      <c r="L27" s="52"/>
      <c r="M27" s="52"/>
      <c r="N27" s="52"/>
      <c r="O27" s="52"/>
      <c r="P27" s="52"/>
      <c r="Q27" s="52"/>
      <c r="R27" s="52"/>
      <c r="S27" s="52"/>
    </row>
    <row r="28" spans="2:19" s="54" customFormat="1" ht="15" customHeight="1">
      <c r="B28" s="83" t="str">
        <f>Assumptions!C29</f>
        <v>Custom LOCAL SUPPORT - NON-TAX</v>
      </c>
      <c r="C28" s="52"/>
      <c r="D28" s="84">
        <f>IF(VLOOKUP($B28,X_Assumptions,3,FALSE)=1,SUM(VLOOKUP($B28,X_AssumptionsInc,3,FALSE)*VLOOKUP("Total Enrollment",X_Enrollment,2,FALSE)),
IF(VLOOKUP($B28,X_Assumptions,3,FALSE)=2,SUM(VLOOKUP($B28,X_AssumptionsInc,3,FALSE)*X_Staffing_YR1_FTE),VLOOKUP($B28,X_AssumptionsInc,3,FALSE)))</f>
        <v>0</v>
      </c>
      <c r="E28" s="84">
        <f>IF(VLOOKUP($B28,X_Assumptions,3,FALSE)=1,SUM(VLOOKUP($B28,X_AssumptionsInc,4,FALSE)*VLOOKUP("Total Enrollment",X_Enrollment,3,FALSE)),
IF(VLOOKUP($B28,X_Assumptions,3,FALSE)=2,SUM(VLOOKUP($B28,X_AssumptionsInc,4,FALSE)*X_Staffing_YR2_FTE),VLOOKUP($B28,X_AssumptionsInc,4,FALSE)))</f>
        <v>0</v>
      </c>
      <c r="F28" s="84">
        <f>IF(VLOOKUP($B28,X_Assumptions,3,FALSE)=1,SUM(VLOOKUP($B28,X_AssumptionsInc,5,FALSE)*VLOOKUP("Total Enrollment",X_Enrollment,4,FALSE)),
IF(VLOOKUP($B28,X_Assumptions,3,FALSE)=2,SUM(VLOOKUP($B28,X_AssumptionsInc,5,FALSE)*X_Staffing_YR3_FTE),VLOOKUP($B28,X_AssumptionsInc,5,FALSE)))</f>
        <v>0</v>
      </c>
      <c r="G28" s="84">
        <f>IF(VLOOKUP($B28,X_Assumptions,3,FALSE)=1,SUM(VLOOKUP($B28,X_AssumptionsInc,6,FALSE)*VLOOKUP("Total Enrollment",X_Enrollment,5,FALSE)),
IF(VLOOKUP($B28,X_Assumptions,3,FALSE)=2,SUM(VLOOKUP($B28,X_AssumptionsInc,6,FALSE)*X_Staffing_YR4_FTE),VLOOKUP($B28,X_AssumptionsInc,6,FALSE)))</f>
        <v>0</v>
      </c>
      <c r="H28" s="84">
        <f>IF(VLOOKUP($B28,X_Assumptions,3,FALSE)=1,SUM(VLOOKUP($B28,X_AssumptionsInc,7,FALSE)*VLOOKUP("Total Enrollment",X_Enrollment,6,FALSE)),
IF(VLOOKUP($B28,X_Assumptions,3,FALSE)=2,SUM(VLOOKUP($B28,X_AssumptionsInc,7,FALSE)*X_Staffing_YR5_FTE),VLOOKUP($B28,X_AssumptionsInc,7,FALSE)))</f>
        <v>0</v>
      </c>
      <c r="I28" s="82"/>
      <c r="J28" s="287"/>
      <c r="K28" s="52"/>
      <c r="L28" s="52"/>
      <c r="M28" s="52"/>
      <c r="N28" s="52"/>
      <c r="O28" s="52"/>
      <c r="P28" s="52"/>
      <c r="Q28" s="52"/>
      <c r="R28" s="52"/>
      <c r="S28" s="52"/>
    </row>
    <row r="29" spans="2:19" s="54" customFormat="1" ht="15" customHeight="1" thickBot="1">
      <c r="B29" s="81" t="str">
        <f>Assumptions!C30</f>
        <v>TOTAL LOCAL SUPPORT - NON-TAX</v>
      </c>
      <c r="C29" s="52"/>
      <c r="D29" s="87">
        <f>SUM(D26:D28)</f>
        <v>0</v>
      </c>
      <c r="E29" s="87">
        <f>SUM(E26:E28)</f>
        <v>0</v>
      </c>
      <c r="F29" s="87">
        <f>SUM(F26:F28)</f>
        <v>0</v>
      </c>
      <c r="G29" s="87">
        <f>SUM(G26:G28)</f>
        <v>0</v>
      </c>
      <c r="H29" s="87">
        <f>SUM(H26:H28)</f>
        <v>0</v>
      </c>
      <c r="I29" s="82"/>
      <c r="J29" s="287"/>
      <c r="K29" s="52"/>
      <c r="L29" s="52"/>
      <c r="M29" s="52"/>
      <c r="N29" s="52"/>
      <c r="O29" s="52"/>
      <c r="P29" s="52"/>
      <c r="Q29" s="52"/>
      <c r="R29" s="52"/>
      <c r="S29" s="52"/>
    </row>
    <row r="30" spans="2:19" s="54" customFormat="1" ht="6" customHeight="1" thickTop="1">
      <c r="B30" s="83"/>
      <c r="C30" s="52"/>
      <c r="D30" s="79"/>
      <c r="E30" s="79"/>
      <c r="F30" s="79"/>
      <c r="G30" s="79"/>
      <c r="H30" s="79"/>
      <c r="I30" s="82"/>
      <c r="J30" s="287"/>
      <c r="K30" s="52"/>
      <c r="L30" s="52"/>
      <c r="M30" s="52"/>
      <c r="N30" s="52"/>
      <c r="O30" s="52"/>
      <c r="P30" s="52"/>
      <c r="Q30" s="52"/>
      <c r="R30" s="52"/>
      <c r="S30" s="52"/>
    </row>
    <row r="31" spans="2:19" s="54" customFormat="1" ht="15" customHeight="1">
      <c r="B31" s="81" t="str">
        <f>Assumptions!C32</f>
        <v>3000 - STATE REVENUE - GENERAL PURPOSE</v>
      </c>
      <c r="C31" s="52"/>
      <c r="D31" s="79"/>
      <c r="E31" s="79"/>
      <c r="F31" s="79"/>
      <c r="G31" s="79"/>
      <c r="H31" s="79"/>
      <c r="I31" s="82"/>
      <c r="J31" s="287"/>
      <c r="K31" s="52"/>
      <c r="L31" s="52"/>
      <c r="M31" s="52"/>
      <c r="N31" s="52"/>
      <c r="O31" s="52"/>
      <c r="P31" s="52"/>
      <c r="Q31" s="52"/>
      <c r="R31" s="52"/>
      <c r="S31" s="52"/>
    </row>
    <row r="32" spans="2:19" s="54" customFormat="1" ht="15" customHeight="1">
      <c r="B32" s="83" t="str">
        <f>Assumptions!C33</f>
        <v xml:space="preserve">3100 - Apportionment   </v>
      </c>
      <c r="C32" s="52"/>
      <c r="D32" s="84">
        <f>SUM(VLOOKUP($B32,X_AssumptionsInc,3,FALSE)*VLOOKUP("Total Enrollment",X_Enrollment,2,FALSE))</f>
        <v>0</v>
      </c>
      <c r="E32" s="84">
        <f>SUM(VLOOKUP($B32,X_AssumptionsInc,4,FALSE)*VLOOKUP("Total Enrollment",X_Enrollment,3,FALSE))</f>
        <v>0</v>
      </c>
      <c r="F32" s="84">
        <f>SUM(VLOOKUP($B32,X_AssumptionsInc,5,FALSE)*VLOOKUP("Total Enrollment",X_Enrollment,4,FALSE))</f>
        <v>0</v>
      </c>
      <c r="G32" s="84">
        <f>SUM(VLOOKUP($B32,X_AssumptionsInc,6,FALSE)*VLOOKUP("Total Enrollment",X_Enrollment,5,FALSE))</f>
        <v>0</v>
      </c>
      <c r="H32" s="84">
        <f>SUM(VLOOKUP($B32,X_AssumptionsInc,7,FALSE)*VLOOKUP("Total Enrollment",X_Enrollment,6,FALSE))</f>
        <v>0</v>
      </c>
      <c r="I32" s="82"/>
      <c r="J32" s="287"/>
      <c r="K32" s="52"/>
      <c r="L32" s="52"/>
      <c r="M32" s="52"/>
      <c r="N32" s="52"/>
      <c r="O32" s="52"/>
      <c r="P32" s="52"/>
      <c r="Q32" s="52"/>
      <c r="R32" s="52"/>
      <c r="S32" s="52"/>
    </row>
    <row r="33" spans="2:19" s="54" customFormat="1" ht="15" customHeight="1">
      <c r="B33" s="83" t="str">
        <f>Assumptions!C34</f>
        <v xml:space="preserve">3121 - Special Education - General Apportionment  </v>
      </c>
      <c r="C33" s="52"/>
      <c r="D33" s="84">
        <f>SUM(VLOOKUP($B33,X_AssumptionsInc,3,FALSE)*VLOOKUP("Special Education Student Count (SPED)",X_Enrollment,2,FALSE))</f>
        <v>0</v>
      </c>
      <c r="E33" s="84">
        <f>SUM(VLOOKUP($B33,X_AssumptionsInc,4,FALSE)*VLOOKUP("Special Education Student Count (SPED)",X_Enrollment,3,FALSE))</f>
        <v>0</v>
      </c>
      <c r="F33" s="84">
        <f>SUM(VLOOKUP($B33,X_AssumptionsInc,5,FALSE)*VLOOKUP("Special Education Student Count (SPED)",X_Enrollment,4,FALSE))</f>
        <v>0</v>
      </c>
      <c r="G33" s="84">
        <f>SUM(VLOOKUP($B33,X_AssumptionsInc,6,FALSE)*VLOOKUP("Special Education Student Count (SPED)",X_Enrollment,5,FALSE))</f>
        <v>0</v>
      </c>
      <c r="H33" s="84">
        <f>SUM(VLOOKUP($B33,X_AssumptionsInc,7,FALSE)*VLOOKUP("Special Education Student Count (SPED)",X_Enrollment,6,FALSE))</f>
        <v>0</v>
      </c>
      <c r="I33" s="82"/>
      <c r="J33" s="287"/>
      <c r="K33" s="52"/>
      <c r="L33" s="52"/>
      <c r="M33" s="52"/>
      <c r="N33" s="52"/>
      <c r="O33" s="52"/>
      <c r="P33" s="52"/>
      <c r="Q33" s="52"/>
      <c r="R33" s="52"/>
      <c r="S33" s="52"/>
    </row>
    <row r="34" spans="2:19" s="54" customFormat="1" ht="15" customHeight="1">
      <c r="B34" s="83" t="str">
        <f>Assumptions!C35</f>
        <v>Custom STATE REVENUE - GENERAL PURPOSE</v>
      </c>
      <c r="C34" s="52"/>
      <c r="D34" s="84">
        <f>IF(VLOOKUP($B34,X_Assumptions,3,FALSE)=1,SUM(VLOOKUP($B34,X_AssumptionsInc,3,FALSE)*VLOOKUP("Total Enrollment",X_Enrollment,2,FALSE)),
IF(VLOOKUP($B34,X_Assumptions,3,FALSE)=2,SUM(VLOOKUP($B34,X_AssumptionsInc,3,FALSE)*X_Staffing_YR1_FTE),VLOOKUP($B34,X_AssumptionsInc,3,FALSE)))</f>
        <v>0</v>
      </c>
      <c r="E34" s="84">
        <f>IF(VLOOKUP($B34,X_Assumptions,3,FALSE)=1,SUM(VLOOKUP($B34,X_AssumptionsInc,4,FALSE)*VLOOKUP("Total Enrollment",X_Enrollment,3,FALSE)),
IF(VLOOKUP($B34,X_Assumptions,3,FALSE)=2,SUM(VLOOKUP($B34,X_AssumptionsInc,4,FALSE)*X_Staffing_YR2_FTE),VLOOKUP($B34,X_AssumptionsInc,4,FALSE)))</f>
        <v>0</v>
      </c>
      <c r="F34" s="84">
        <f>IF(VLOOKUP($B34,X_Assumptions,3,FALSE)=1,SUM(VLOOKUP($B34,X_AssumptionsInc,5,FALSE)*VLOOKUP("Total Enrollment",X_Enrollment,4,FALSE)),
IF(VLOOKUP($B34,X_Assumptions,3,FALSE)=2,SUM(VLOOKUP($B34,X_AssumptionsInc,5,FALSE)*X_Staffing_YR3_FTE),VLOOKUP($B34,X_AssumptionsInc,5,FALSE)))</f>
        <v>0</v>
      </c>
      <c r="G34" s="84">
        <f>IF(VLOOKUP($B34,X_Assumptions,3,FALSE)=1,SUM(VLOOKUP($B34,X_AssumptionsInc,6,FALSE)*VLOOKUP("Total Enrollment",X_Enrollment,5,FALSE)),
IF(VLOOKUP($B34,X_Assumptions,3,FALSE)=2,SUM(VLOOKUP($B34,X_AssumptionsInc,6,FALSE)*X_Staffing_YR4_FTE),VLOOKUP($B34,X_AssumptionsInc,6,FALSE)))</f>
        <v>0</v>
      </c>
      <c r="H34" s="84">
        <f>IF(VLOOKUP($B34,X_Assumptions,3,FALSE)=1,SUM(VLOOKUP($B34,X_AssumptionsInc,7,FALSE)*VLOOKUP("Total Enrollment",X_Enrollment,6,FALSE)),
IF(VLOOKUP($B34,X_Assumptions,3,FALSE)=2,SUM(VLOOKUP($B34,X_AssumptionsInc,7,FALSE)*X_Staffing_YR5_FTE),VLOOKUP($B34,X_AssumptionsInc,7,FALSE)))</f>
        <v>0</v>
      </c>
      <c r="I34" s="82"/>
      <c r="J34" s="287"/>
      <c r="K34" s="52"/>
      <c r="L34" s="52"/>
      <c r="M34" s="52"/>
      <c r="N34" s="52"/>
      <c r="O34" s="52"/>
      <c r="P34" s="52"/>
      <c r="Q34" s="52"/>
      <c r="R34" s="52"/>
      <c r="S34" s="52"/>
    </row>
    <row r="35" spans="2:19" s="54" customFormat="1" ht="15" customHeight="1" thickBot="1">
      <c r="B35" s="81" t="str">
        <f>Assumptions!C36</f>
        <v>TOTAL STATE REVENUE - GENERAL PURPOSE</v>
      </c>
      <c r="C35" s="52"/>
      <c r="D35" s="87">
        <f>SUM(D32:D34)</f>
        <v>0</v>
      </c>
      <c r="E35" s="87">
        <f>SUM(E32:E34)</f>
        <v>0</v>
      </c>
      <c r="F35" s="87">
        <f>SUM(F32:F34)</f>
        <v>0</v>
      </c>
      <c r="G35" s="87">
        <f>SUM(G32:G34)</f>
        <v>0</v>
      </c>
      <c r="H35" s="87">
        <f>SUM(H32:I34)</f>
        <v>0</v>
      </c>
      <c r="I35" s="82"/>
      <c r="J35" s="287"/>
      <c r="K35" s="52"/>
      <c r="L35" s="52"/>
      <c r="M35" s="52"/>
      <c r="N35" s="52"/>
      <c r="O35" s="52"/>
      <c r="P35" s="52"/>
      <c r="Q35" s="52"/>
      <c r="R35" s="52"/>
      <c r="S35" s="52"/>
    </row>
    <row r="36" spans="2:19" s="54" customFormat="1" ht="6" customHeight="1" thickTop="1">
      <c r="B36" s="83"/>
      <c r="C36" s="52"/>
      <c r="D36" s="79"/>
      <c r="E36" s="79"/>
      <c r="F36" s="79"/>
      <c r="G36" s="79"/>
      <c r="H36" s="79"/>
      <c r="I36" s="82"/>
      <c r="J36" s="287"/>
      <c r="K36" s="52"/>
      <c r="L36" s="52"/>
      <c r="M36" s="52"/>
      <c r="N36" s="52"/>
      <c r="O36" s="52"/>
      <c r="P36" s="52"/>
      <c r="Q36" s="52"/>
      <c r="R36" s="52"/>
      <c r="S36" s="52"/>
    </row>
    <row r="37" spans="2:19" s="54" customFormat="1" ht="15" customHeight="1">
      <c r="B37" s="81" t="str">
        <f>Assumptions!C38</f>
        <v>4000 - STATE REVENUE - SPECIAL PURPOSE</v>
      </c>
      <c r="C37" s="52"/>
      <c r="D37" s="79"/>
      <c r="E37" s="79"/>
      <c r="F37" s="79"/>
      <c r="G37" s="79"/>
      <c r="H37" s="79"/>
      <c r="I37" s="82"/>
      <c r="J37" s="287"/>
      <c r="K37" s="52"/>
      <c r="L37" s="52"/>
      <c r="M37" s="52"/>
      <c r="N37" s="52"/>
      <c r="O37" s="52"/>
      <c r="P37" s="52"/>
      <c r="Q37" s="52"/>
      <c r="R37" s="52"/>
      <c r="S37" s="52"/>
    </row>
    <row r="38" spans="2:19" s="54" customFormat="1" ht="15" customHeight="1">
      <c r="B38" s="83" t="str">
        <f>Assumptions!C39</f>
        <v xml:space="preserve">4121 - Special Education - State   </v>
      </c>
      <c r="C38" s="52"/>
      <c r="D38" s="84">
        <f>SUM(VLOOKUP($B38,X_AssumptionsInc,3,FALSE)*VLOOKUP("Special Education Student Count (SPED)",X_Enrollment,2,FALSE))</f>
        <v>0</v>
      </c>
      <c r="E38" s="84">
        <f>SUM(VLOOKUP($B38,X_AssumptionsInc,4,FALSE)*VLOOKUP("Special Education Student Count (SPED)",X_Enrollment,3,FALSE))</f>
        <v>0</v>
      </c>
      <c r="F38" s="84">
        <f>SUM(VLOOKUP($B38,X_AssumptionsInc,5,FALSE)*VLOOKUP("Special Education Student Count (SPED)",X_Enrollment,4,FALSE))</f>
        <v>0</v>
      </c>
      <c r="G38" s="84">
        <f>SUM(VLOOKUP($B38,X_AssumptionsInc,6,FALSE)*VLOOKUP("Special Education Student Count (SPED)",X_Enrollment,5,FALSE))</f>
        <v>0</v>
      </c>
      <c r="H38" s="84">
        <f>SUM(VLOOKUP($B38,X_AssumptionsInc,7,FALSE)*VLOOKUP("Special Education Student Count (SPED)",X_Enrollment,6,FALSE))</f>
        <v>0</v>
      </c>
      <c r="I38" s="82"/>
      <c r="J38" s="287"/>
      <c r="K38" s="52"/>
      <c r="L38" s="52"/>
      <c r="M38" s="52"/>
      <c r="N38" s="52"/>
      <c r="O38" s="52"/>
      <c r="P38" s="52"/>
      <c r="Q38" s="52"/>
      <c r="R38" s="52"/>
      <c r="S38" s="52"/>
    </row>
    <row r="39" spans="2:19" s="54" customFormat="1" ht="15" customHeight="1">
      <c r="B39" s="83" t="str">
        <f>Assumptions!C40</f>
        <v xml:space="preserve">4155 - Learning Assistance   </v>
      </c>
      <c r="C39" s="52"/>
      <c r="D39" s="84">
        <f>SUM(VLOOKUP($B39,X_AssumptionsInc,3,FALSE)*VLOOKUP("Student Count Qualifying for Free or Reduced Lunch",X_Enrollment,2,FALSE))</f>
        <v>0</v>
      </c>
      <c r="E39" s="84">
        <f>SUM(VLOOKUP($B39,X_AssumptionsInc,4,FALSE)*VLOOKUP("Student Count Qualifying for Free or Reduced Lunch",X_Enrollment,3,FALSE))</f>
        <v>0</v>
      </c>
      <c r="F39" s="84">
        <f>SUM(VLOOKUP($B39,X_AssumptionsInc,5,FALSE)*VLOOKUP("Student Count Qualifying for Free or Reduced Lunch",X_Enrollment,4,FALSE))</f>
        <v>0</v>
      </c>
      <c r="G39" s="84">
        <f>SUM(VLOOKUP($B39,X_AssumptionsInc,6,FALSE)*VLOOKUP("Student Count Qualifying for Free or Reduced Lunch",X_Enrollment,5,FALSE))</f>
        <v>0</v>
      </c>
      <c r="H39" s="84">
        <f>SUM(VLOOKUP($B39,X_AssumptionsInc,7,FALSE)*VLOOKUP("Student Count Qualifying for Free or Reduced Lunch",X_Enrollment,6,FALSE))</f>
        <v>0</v>
      </c>
      <c r="I39" s="82"/>
      <c r="J39" s="287"/>
      <c r="K39" s="52"/>
      <c r="L39" s="52"/>
      <c r="M39" s="52"/>
      <c r="N39" s="52"/>
      <c r="O39" s="52"/>
      <c r="P39" s="52"/>
      <c r="Q39" s="52"/>
      <c r="R39" s="52"/>
      <c r="S39" s="52"/>
    </row>
    <row r="40" spans="2:19" s="54" customFormat="1" ht="15" customHeight="1">
      <c r="B40" s="83" t="str">
        <f>Assumptions!C41</f>
        <v>4165 - Transitional Bilingual</v>
      </c>
      <c r="C40" s="52"/>
      <c r="D40" s="84">
        <f>SUM(VLOOKUP($B40,X_AssumptionsInc,3,FALSE)*VLOOKUP("Transitional Bilingual Count",X_Enrollment,2,FALSE))</f>
        <v>0</v>
      </c>
      <c r="E40" s="84">
        <f>SUM(VLOOKUP($B40,X_AssumptionsInc,4,FALSE)*VLOOKUP("Transitional Bilingual Count",X_Enrollment,3,FALSE))</f>
        <v>0</v>
      </c>
      <c r="F40" s="84">
        <f>SUM(VLOOKUP($B40,X_AssumptionsInc,5,FALSE)*VLOOKUP("Transitional Bilingual Count",X_Enrollment,4,FALSE))</f>
        <v>0</v>
      </c>
      <c r="G40" s="84">
        <f>SUM(VLOOKUP($B40,X_AssumptionsInc,6,FALSE)*VLOOKUP("Transitional Bilingual Count",X_Enrollment,5,FALSE))</f>
        <v>0</v>
      </c>
      <c r="H40" s="84">
        <f>SUM(VLOOKUP($B40,X_AssumptionsInc,7,FALSE)*VLOOKUP("Transitional Bilingual Count",X_Enrollment,6,FALSE))</f>
        <v>0</v>
      </c>
      <c r="I40" s="82"/>
      <c r="J40" s="287"/>
      <c r="K40" s="52"/>
      <c r="L40" s="52"/>
      <c r="M40" s="52"/>
      <c r="N40" s="52"/>
      <c r="O40" s="52"/>
      <c r="P40" s="52"/>
      <c r="Q40" s="52"/>
      <c r="R40" s="52"/>
      <c r="S40" s="52"/>
    </row>
    <row r="41" spans="2:19" s="54" customFormat="1" ht="15" customHeight="1">
      <c r="B41" s="83" t="str">
        <f>Assumptions!C42</f>
        <v xml:space="preserve">4174 - Highly Capable      </v>
      </c>
      <c r="C41" s="52"/>
      <c r="D41" s="84">
        <f>SUM(VLOOKUP($B41,X_AssumptionsInc,3,FALSE)*SUM(VLOOKUP("Total Enrollment",X_Enrollment,2,FALSE))*0.05)</f>
        <v>0</v>
      </c>
      <c r="E41" s="84">
        <f>SUM(VLOOKUP($B41,X_AssumptionsInc,4,FALSE)*SUM(VLOOKUP("Total Enrollment",X_Enrollment,3,FALSE))*0.05)</f>
        <v>0</v>
      </c>
      <c r="F41" s="84">
        <f>SUM(VLOOKUP($B41,X_AssumptionsInc,5,FALSE)*SUM(VLOOKUP("Total Enrollment",X_Enrollment,4,FALSE))*0.05)</f>
        <v>0</v>
      </c>
      <c r="G41" s="84">
        <f>SUM(VLOOKUP($B41,X_AssumptionsInc,6,FALSE)*SUM(VLOOKUP("Total Enrollment",X_Enrollment,5,FALSE))*0.05)</f>
        <v>0</v>
      </c>
      <c r="H41" s="84">
        <f>SUM(VLOOKUP($B41,X_AssumptionsInc,7,FALSE)*SUM(VLOOKUP("Total Enrollment",X_Enrollment,6,FALSE))*0.05)</f>
        <v>0</v>
      </c>
      <c r="I41" s="82"/>
      <c r="J41" s="287"/>
      <c r="K41" s="52"/>
      <c r="L41" s="52"/>
      <c r="M41" s="52"/>
      <c r="N41" s="52"/>
      <c r="O41" s="52"/>
      <c r="P41" s="52"/>
      <c r="Q41" s="52"/>
      <c r="R41" s="52"/>
      <c r="S41" s="52"/>
    </row>
    <row r="42" spans="2:19" s="54" customFormat="1" ht="15" customHeight="1">
      <c r="B42" s="83" t="str">
        <f>Assumptions!C43</f>
        <v xml:space="preserve">4198 - School Food Service      </v>
      </c>
      <c r="C42" s="52"/>
      <c r="D42" s="84">
        <f>IF(VLOOKUP($B42,X_Assumptions,3,FALSE)=1,SUM(VLOOKUP($B42,X_AssumptionsInc,3,FALSE)*VLOOKUP("Total Enrollment",X_Enrollment,2,FALSE)),
IF(VLOOKUP($B42,X_Assumptions,3,FALSE)=2,SUM(VLOOKUP($B42,X_AssumptionsInc,3,FALSE)*X_Staffing_YR1_FTE),VLOOKUP($B42,X_AssumptionsInc,3,FALSE)))</f>
        <v>0</v>
      </c>
      <c r="E42" s="84">
        <f>IF(VLOOKUP($B42,X_Assumptions,3,FALSE)=1,SUM(VLOOKUP($B42,X_AssumptionsInc,4,FALSE)*VLOOKUP("Total Enrollment",X_Enrollment,3,FALSE)),
IF(VLOOKUP($B42,X_Assumptions,3,FALSE)=2,SUM(VLOOKUP($B42,X_AssumptionsInc,4,FALSE)*X_Staffing_YR2_FTE),VLOOKUP($B42,X_AssumptionsInc,4,FALSE)))</f>
        <v>0</v>
      </c>
      <c r="F42" s="84">
        <f>IF(VLOOKUP($B42,X_Assumptions,3,FALSE)=1,SUM(VLOOKUP($B42,X_AssumptionsInc,5,FALSE)*VLOOKUP("Total Enrollment",X_Enrollment,4,FALSE)),
IF(VLOOKUP($B42,X_Assumptions,3,FALSE)=2,SUM(VLOOKUP($B42,X_AssumptionsInc,5,FALSE)*X_Staffing_YR3_FTE),VLOOKUP($B42,X_AssumptionsInc,5,FALSE)))</f>
        <v>0</v>
      </c>
      <c r="G42" s="84">
        <f>IF(VLOOKUP($B42,X_Assumptions,3,FALSE)=1,SUM(VLOOKUP($B42,X_AssumptionsInc,6,FALSE)*VLOOKUP("Total Enrollment",X_Enrollment,5,FALSE)),
IF(VLOOKUP($B42,X_Assumptions,3,FALSE)=2,SUM(VLOOKUP($B42,X_AssumptionsInc,6,FALSE)*X_Staffing_YR4_FTE),VLOOKUP($B42,X_AssumptionsInc,6,FALSE)))</f>
        <v>0</v>
      </c>
      <c r="H42" s="84">
        <f>IF(VLOOKUP($B42,X_Assumptions,3,FALSE)=1,SUM(VLOOKUP($B42,X_AssumptionsInc,7,FALSE)*VLOOKUP("Total Enrollment",X_Enrollment,6,FALSE)),
IF(VLOOKUP($B42,X_Assumptions,3,FALSE)=2,SUM(VLOOKUP($B42,X_AssumptionsInc,7,FALSE)*X_Staffing_YR5_FTE),VLOOKUP($B42,X_AssumptionsInc,7,FALSE)))</f>
        <v>0</v>
      </c>
      <c r="I42" s="82"/>
      <c r="J42" s="287"/>
      <c r="K42" s="52"/>
      <c r="L42" s="52"/>
      <c r="M42" s="52"/>
      <c r="N42" s="52"/>
      <c r="O42" s="52"/>
      <c r="P42" s="52"/>
      <c r="Q42" s="52"/>
      <c r="R42" s="52"/>
      <c r="S42" s="52"/>
    </row>
    <row r="43" spans="2:19" s="54" customFormat="1" ht="15" customHeight="1">
      <c r="B43" s="83" t="str">
        <f>Assumptions!C44</f>
        <v>4199 - Transportation - Operations</v>
      </c>
      <c r="C43" s="52"/>
      <c r="D43" s="84">
        <f>SUM(VLOOKUP($B43,X_AssumptionsInc,3,FALSE)*VLOOKUP("Student Transportation Count",X_Enrollment,2,FALSE))</f>
        <v>0</v>
      </c>
      <c r="E43" s="84">
        <f>SUM(VLOOKUP($B43,X_AssumptionsInc,4,FALSE)*VLOOKUP("Student Transportation Count",X_Enrollment,3,FALSE))</f>
        <v>0</v>
      </c>
      <c r="F43" s="84">
        <f>SUM(VLOOKUP($B43,X_AssumptionsInc,5,FALSE)*VLOOKUP("Student Transportation Count",X_Enrollment,4,FALSE))</f>
        <v>0</v>
      </c>
      <c r="G43" s="84">
        <f>SUM(VLOOKUP($B43,X_AssumptionsInc,6,FALSE)*VLOOKUP("Student Transportation Count",X_Enrollment,5,FALSE))</f>
        <v>0</v>
      </c>
      <c r="H43" s="84">
        <f>SUM(VLOOKUP($B43,X_AssumptionsInc,7,FALSE)*VLOOKUP("Student Transportation Count",X_Enrollment,6,FALSE))</f>
        <v>0</v>
      </c>
      <c r="I43" s="82"/>
      <c r="J43" s="287"/>
      <c r="K43" s="52"/>
      <c r="L43" s="52"/>
      <c r="M43" s="52"/>
      <c r="N43" s="52"/>
      <c r="O43" s="52"/>
      <c r="P43" s="52"/>
      <c r="Q43" s="52"/>
      <c r="R43" s="52"/>
      <c r="S43" s="52"/>
    </row>
    <row r="44" spans="2:19" s="54" customFormat="1" ht="15" customHeight="1">
      <c r="B44" s="83" t="str">
        <f>Assumptions!C45</f>
        <v>Custom STATE REVENUE - SPECIAL PURPOSE</v>
      </c>
      <c r="C44" s="52"/>
      <c r="D44" s="84">
        <f>IF(VLOOKUP($B44,X_Assumptions,3,FALSE)=1,SUM(VLOOKUP($B44,X_AssumptionsInc,3,FALSE)*VLOOKUP("Total Enrollment",X_Enrollment,2,FALSE)),
IF(VLOOKUP($B44,X_Assumptions,3,FALSE)=2,SUM(VLOOKUP($B44,X_AssumptionsInc,3,FALSE)*X_Staffing_YR1_FTE),VLOOKUP($B44,X_AssumptionsInc,3,FALSE)))</f>
        <v>0</v>
      </c>
      <c r="E44" s="84">
        <f>IF(VLOOKUP($B44,X_Assumptions,3,FALSE)=1,SUM(VLOOKUP($B44,X_AssumptionsInc,4,FALSE)*VLOOKUP("Total Enrollment",X_Enrollment,3,FALSE)),
IF(VLOOKUP($B44,X_Assumptions,3,FALSE)=2,SUM(VLOOKUP($B44,X_AssumptionsInc,4,FALSE)*X_Staffing_YR2_FTE),VLOOKUP($B44,X_AssumptionsInc,4,FALSE)))</f>
        <v>0</v>
      </c>
      <c r="F44" s="84">
        <f>IF(VLOOKUP($B44,X_Assumptions,3,FALSE)=1,SUM(VLOOKUP($B44,X_AssumptionsInc,5,FALSE)*VLOOKUP("Total Enrollment",X_Enrollment,4,FALSE)),
IF(VLOOKUP($B44,X_Assumptions,3,FALSE)=2,SUM(VLOOKUP($B44,X_AssumptionsInc,5,FALSE)*X_Staffing_YR3_FTE),VLOOKUP($B44,X_AssumptionsInc,5,FALSE)))</f>
        <v>0</v>
      </c>
      <c r="G44" s="84">
        <f>IF(VLOOKUP($B44,X_Assumptions,3,FALSE)=1,SUM(VLOOKUP($B44,X_AssumptionsInc,6,FALSE)*VLOOKUP("Total Enrollment",X_Enrollment,5,FALSE)),
IF(VLOOKUP($B44,X_Assumptions,3,FALSE)=2,SUM(VLOOKUP($B44,X_AssumptionsInc,6,FALSE)*X_Staffing_YR4_FTE),VLOOKUP($B44,X_AssumptionsInc,6,FALSE)))</f>
        <v>0</v>
      </c>
      <c r="H44" s="84">
        <f>IF(VLOOKUP($B44,X_Assumptions,3,FALSE)=1,SUM(VLOOKUP($B44,X_AssumptionsInc,7,FALSE)*VLOOKUP("Total Enrollment",X_Enrollment,6,FALSE)),
IF(VLOOKUP($B44,X_Assumptions,3,FALSE)=2,SUM(VLOOKUP($B44,X_AssumptionsInc,7,FALSE)*X_Staffing_YR5_FTE),VLOOKUP($B44,X_AssumptionsInc,7,FALSE)))</f>
        <v>0</v>
      </c>
      <c r="I44" s="82"/>
      <c r="J44" s="287"/>
      <c r="K44" s="52"/>
      <c r="L44" s="52"/>
      <c r="M44" s="52"/>
      <c r="N44" s="52"/>
      <c r="O44" s="52"/>
      <c r="P44" s="52"/>
      <c r="Q44" s="52"/>
      <c r="R44" s="52"/>
      <c r="S44" s="52"/>
    </row>
    <row r="45" spans="2:19" s="54" customFormat="1" ht="15" customHeight="1" thickBot="1">
      <c r="B45" s="81" t="str">
        <f>Assumptions!C46</f>
        <v>TOTAL STATE REVENUE - SPECIAL PURPOSE</v>
      </c>
      <c r="C45" s="52"/>
      <c r="D45" s="87">
        <f>SUM(D38:D44)</f>
        <v>0</v>
      </c>
      <c r="E45" s="87">
        <f>SUM(E38:E44)</f>
        <v>0</v>
      </c>
      <c r="F45" s="87">
        <f>SUM(F38:F44)</f>
        <v>0</v>
      </c>
      <c r="G45" s="87">
        <f>SUM(G38:G44)</f>
        <v>0</v>
      </c>
      <c r="H45" s="87">
        <f>SUM(H38:H44)</f>
        <v>0</v>
      </c>
      <c r="I45" s="82"/>
      <c r="J45" s="287"/>
      <c r="K45" s="52"/>
      <c r="L45" s="52"/>
      <c r="M45" s="52"/>
      <c r="N45" s="52"/>
      <c r="O45" s="52"/>
      <c r="P45" s="52"/>
      <c r="Q45" s="52"/>
      <c r="R45" s="52"/>
      <c r="S45" s="52"/>
    </row>
    <row r="46" spans="2:19" s="54" customFormat="1" ht="6" customHeight="1" thickTop="1">
      <c r="B46" s="83"/>
      <c r="C46" s="52"/>
      <c r="D46" s="79"/>
      <c r="E46" s="79"/>
      <c r="F46" s="79"/>
      <c r="G46" s="79"/>
      <c r="H46" s="79"/>
      <c r="I46" s="82"/>
      <c r="J46" s="287"/>
      <c r="K46" s="52"/>
      <c r="L46" s="52"/>
      <c r="M46" s="52"/>
      <c r="N46" s="52"/>
      <c r="O46" s="52"/>
      <c r="P46" s="52"/>
      <c r="Q46" s="52"/>
      <c r="R46" s="52"/>
      <c r="S46" s="52"/>
    </row>
    <row r="47" spans="2:19" s="54" customFormat="1" ht="15" customHeight="1">
      <c r="B47" s="81" t="str">
        <f>Assumptions!C48</f>
        <v>5000 - FEDERAL REVENUE - GENERAL PURPOSE</v>
      </c>
      <c r="C47" s="52"/>
      <c r="D47" s="79"/>
      <c r="E47" s="79"/>
      <c r="F47" s="79"/>
      <c r="G47" s="79"/>
      <c r="H47" s="79"/>
      <c r="I47" s="82"/>
      <c r="J47" s="287"/>
      <c r="K47" s="52"/>
      <c r="L47" s="52"/>
      <c r="M47" s="52"/>
      <c r="N47" s="52"/>
      <c r="O47" s="52"/>
      <c r="P47" s="52"/>
      <c r="Q47" s="52"/>
      <c r="R47" s="52"/>
      <c r="S47" s="52"/>
    </row>
    <row r="48" spans="2:19" s="54" customFormat="1" ht="15" customHeight="1">
      <c r="B48" s="83" t="str">
        <f>Assumptions!C49</f>
        <v xml:space="preserve">5200 - General Purpose Direct Fed. Grants - Unassigned  </v>
      </c>
      <c r="C48" s="52"/>
      <c r="D48" s="84">
        <f>IF(VLOOKUP($B48,X_Assumptions,3,FALSE)=1,SUM(VLOOKUP($B48,X_AssumptionsInc,3,FALSE)*VLOOKUP("Total Enrollment",X_Enrollment,2,FALSE)),
IF(VLOOKUP($B48,X_Assumptions,3,FALSE)=2,SUM(VLOOKUP($B48,X_AssumptionsInc,3,FALSE)*X_Staffing_YR1_FTE),VLOOKUP($B48,X_AssumptionsInc,3,FALSE)))</f>
        <v>0</v>
      </c>
      <c r="E48" s="84">
        <f>IF(VLOOKUP($B48,X_Assumptions,3,FALSE)=1,SUM(VLOOKUP($B48,X_AssumptionsInc,4,FALSE)*VLOOKUP("Total Enrollment",X_Enrollment,3,FALSE)),
IF(VLOOKUP($B48,X_Assumptions,3,FALSE)=2,SUM(VLOOKUP($B48,X_AssumptionsInc,4,FALSE)*X_Staffing_YR2_FTE),VLOOKUP($B48,X_AssumptionsInc,4,FALSE)))</f>
        <v>0</v>
      </c>
      <c r="F48" s="84">
        <f>IF(VLOOKUP($B48,X_Assumptions,3,FALSE)=1,SUM(VLOOKUP($B48,X_AssumptionsInc,5,FALSE)*VLOOKUP("Total Enrollment",X_Enrollment,4,FALSE)),
IF(VLOOKUP($B48,X_Assumptions,3,FALSE)=2,SUM(VLOOKUP($B48,X_AssumptionsInc,5,FALSE)*X_Staffing_YR3_FTE),VLOOKUP($B48,X_AssumptionsInc,5,FALSE)))</f>
        <v>0</v>
      </c>
      <c r="G48" s="84">
        <f>IF(VLOOKUP($B48,X_Assumptions,3,FALSE)=1,SUM(VLOOKUP($B48,X_AssumptionsInc,6,FALSE)*VLOOKUP("Total Enrollment",X_Enrollment,5,FALSE)),
IF(VLOOKUP($B48,X_Assumptions,3,FALSE)=2,SUM(VLOOKUP($B48,X_AssumptionsInc,6,FALSE)*X_Staffing_YR4_FTE),VLOOKUP($B48,X_AssumptionsInc,6,FALSE)))</f>
        <v>0</v>
      </c>
      <c r="H48" s="84">
        <f>IF(VLOOKUP($B48,X_Assumptions,3,FALSE)=1,SUM(VLOOKUP($B48,X_AssumptionsInc,7,FALSE)*VLOOKUP("Total Enrollment",X_Enrollment,6,FALSE)),
IF(VLOOKUP($B48,X_Assumptions,3,FALSE)=2,SUM(VLOOKUP($B48,X_AssumptionsInc,7,FALSE)*X_Staffing_YR5_FTE),VLOOKUP($B48,X_AssumptionsInc,7,FALSE)))</f>
        <v>0</v>
      </c>
      <c r="I48" s="82"/>
      <c r="J48" s="287"/>
      <c r="K48" s="52"/>
      <c r="L48" s="52"/>
      <c r="M48" s="52"/>
      <c r="N48" s="52"/>
      <c r="O48" s="52"/>
      <c r="P48" s="52"/>
      <c r="Q48" s="52"/>
      <c r="R48" s="52"/>
      <c r="S48" s="52"/>
    </row>
    <row r="49" spans="2:19" s="54" customFormat="1" ht="15" customHeight="1">
      <c r="B49" s="328" t="str">
        <f>Assumptions!C50</f>
        <v>Title I</v>
      </c>
      <c r="C49" s="52"/>
      <c r="D49" s="84">
        <f>VLOOKUP($B49,X_AssumptionsInc,3,FALSE)*VLOOKUP("Student Count Qualifying for Free or Reduced Lunch",X_Enrollment,2,FALSE)</f>
        <v>0</v>
      </c>
      <c r="E49" s="84">
        <f>VLOOKUP($B49,X_AssumptionsInc,4,FALSE)*VLOOKUP("Student Count Qualifying for Free or Reduced Lunch",X_Enrollment,3,FALSE)</f>
        <v>0</v>
      </c>
      <c r="F49" s="84">
        <f>VLOOKUP($B49,X_AssumptionsInc,5,FALSE)*VLOOKUP("Student Count Qualifying for Free or Reduced Lunch",X_Enrollment,4,FALSE)</f>
        <v>0</v>
      </c>
      <c r="G49" s="84">
        <f>VLOOKUP($B49,X_AssumptionsInc,6,FALSE)*VLOOKUP("Student Count Qualifying for Free or Reduced Lunch",X_Enrollment,5,FALSE)</f>
        <v>0</v>
      </c>
      <c r="H49" s="84">
        <f>VLOOKUP($B49,X_AssumptionsInc,7,FALSE)*VLOOKUP("Student Count Qualifying for Free or Reduced Lunch",X_Enrollment,6,FALSE)</f>
        <v>0</v>
      </c>
      <c r="I49" s="82"/>
      <c r="J49" s="287"/>
      <c r="K49" s="52"/>
      <c r="L49" s="52"/>
      <c r="M49" s="52"/>
      <c r="N49" s="52"/>
      <c r="O49" s="52"/>
      <c r="P49" s="52"/>
      <c r="Q49" s="52"/>
      <c r="R49" s="52"/>
      <c r="S49" s="52"/>
    </row>
    <row r="50" spans="2:19" s="54" customFormat="1" ht="15" customHeight="1">
      <c r="B50" s="328" t="str">
        <f>Assumptions!C51</f>
        <v>Title II</v>
      </c>
      <c r="C50" s="52"/>
      <c r="D50" s="84">
        <f>VLOOKUP($B50,X_AssumptionsInc,3,FALSE)*VLOOKUP("Student Count Qualifying for Free or Reduced Lunch",X_Enrollment,2,FALSE)</f>
        <v>0</v>
      </c>
      <c r="E50" s="84">
        <f>VLOOKUP($B50,X_AssumptionsInc,4,FALSE)*VLOOKUP("Student Count Qualifying for Free or Reduced Lunch",X_Enrollment,3,FALSE)</f>
        <v>0</v>
      </c>
      <c r="F50" s="84">
        <f>VLOOKUP($B50,X_AssumptionsInc,5,FALSE)*VLOOKUP("Student Count Qualifying for Free or Reduced Lunch",X_Enrollment,4,FALSE)</f>
        <v>0</v>
      </c>
      <c r="G50" s="84">
        <f>VLOOKUP($B50,X_AssumptionsInc,6,FALSE)*VLOOKUP("Student Count Qualifying for Free or Reduced Lunch",X_Enrollment,5,FALSE)</f>
        <v>0</v>
      </c>
      <c r="H50" s="84">
        <f>VLOOKUP($B50,X_AssumptionsInc,7,FALSE)*VLOOKUP("Student Count Qualifying for Free or Reduced Lunch",X_Enrollment,6,FALSE)</f>
        <v>0</v>
      </c>
      <c r="I50" s="82"/>
      <c r="J50" s="287"/>
      <c r="K50" s="52"/>
      <c r="L50" s="52"/>
      <c r="M50" s="52"/>
      <c r="N50" s="52"/>
      <c r="O50" s="52"/>
      <c r="P50" s="52"/>
      <c r="Q50" s="52"/>
      <c r="R50" s="52"/>
      <c r="S50" s="52"/>
    </row>
    <row r="51" spans="2:19" s="54" customFormat="1" ht="15" customHeight="1">
      <c r="B51" s="328" t="str">
        <f>Assumptions!C52</f>
        <v>Title III</v>
      </c>
      <c r="C51" s="52"/>
      <c r="D51" s="84">
        <f>VLOOKUP($B51,X_AssumptionsInc,3,FALSE)*VLOOKUP("English Language Learner Count (ELL)",X_Enrollment,2,FALSE)</f>
        <v>0</v>
      </c>
      <c r="E51" s="84">
        <f>VLOOKUP($B51,X_AssumptionsInc,4,FALSE)*VLOOKUP("English Language Learner Count (ELL)",X_Enrollment,3,FALSE)</f>
        <v>0</v>
      </c>
      <c r="F51" s="84">
        <f>VLOOKUP($B51,X_AssumptionsInc,5,FALSE)*VLOOKUP("English Language Learner Count (ELL)",X_Enrollment,4,FALSE)</f>
        <v>0</v>
      </c>
      <c r="G51" s="84">
        <f>VLOOKUP($B51,X_AssumptionsInc,6,FALSE)*VLOOKUP("English Language Learner Count (ELL)",X_Enrollment,5,FALSE)</f>
        <v>0</v>
      </c>
      <c r="H51" s="84">
        <f>VLOOKUP($B51,X_AssumptionsInc,7,FALSE)*VLOOKUP("English Language Learner Count (ELL)",X_Enrollment,6,FALSE)</f>
        <v>0</v>
      </c>
      <c r="I51" s="82"/>
      <c r="J51" s="287"/>
      <c r="K51" s="52"/>
      <c r="L51" s="52"/>
      <c r="M51" s="52"/>
      <c r="N51" s="52"/>
      <c r="O51" s="52"/>
      <c r="P51" s="52"/>
      <c r="Q51" s="52"/>
      <c r="R51" s="52"/>
      <c r="S51" s="52"/>
    </row>
    <row r="52" spans="2:19" s="54" customFormat="1" ht="15" customHeight="1">
      <c r="B52" s="328" t="str">
        <f>Assumptions!C53</f>
        <v>IDEA Funding</v>
      </c>
      <c r="C52" s="52"/>
      <c r="D52" s="84">
        <f>VLOOKUP($B52,X_AssumptionsInc,3,FALSE)*VLOOKUP("Special Education Student Count (SpEd)",X_Enrollment,2,FALSE)</f>
        <v>0</v>
      </c>
      <c r="E52" s="84">
        <f>VLOOKUP($B52,X_AssumptionsInc,4,FALSE)*VLOOKUP("Special Education Student Count (SpEd)",X_Enrollment,3,FALSE)</f>
        <v>0</v>
      </c>
      <c r="F52" s="84">
        <f>VLOOKUP($B52,X_AssumptionsInc,5,FALSE)*VLOOKUP("Special Education Student Count (SpEd)",X_Enrollment,4,FALSE)</f>
        <v>0</v>
      </c>
      <c r="G52" s="84">
        <f>VLOOKUP($B52,X_AssumptionsInc,6,FALSE)*VLOOKUP("Special Education Student Count (SpEd)",X_Enrollment,5,FALSE)</f>
        <v>0</v>
      </c>
      <c r="H52" s="84">
        <f>VLOOKUP($B52,X_AssumptionsInc,7,FALSE)*VLOOKUP("Special Education Student Count (SpEd)",X_Enrollment,6,FALSE)</f>
        <v>0</v>
      </c>
      <c r="I52" s="82"/>
      <c r="J52" s="287"/>
      <c r="K52" s="52"/>
      <c r="L52" s="52"/>
      <c r="M52" s="52"/>
      <c r="N52" s="52"/>
      <c r="O52" s="52"/>
      <c r="P52" s="52"/>
      <c r="Q52" s="52"/>
      <c r="R52" s="52"/>
      <c r="S52" s="52"/>
    </row>
    <row r="53" spans="2:19" s="54" customFormat="1" ht="15" customHeight="1">
      <c r="B53" s="328" t="str">
        <f>Assumptions!C54</f>
        <v>CSP</v>
      </c>
      <c r="C53" s="52"/>
      <c r="D53" s="84">
        <f>IF(VLOOKUP($B53,X_Assumptions,3,FALSE)=1,SUM(VLOOKUP($B53,X_AssumptionsInc,3,FALSE)*VLOOKUP("Total Enrollment",X_Enrollment,2,FALSE)),
IF(VLOOKUP($B53,X_Assumptions,3,FALSE)=2,SUM(VLOOKUP($B53,X_AssumptionsInc,3,FALSE)*X_Staffing_YR1_FTE),VLOOKUP($B53,X_AssumptionsInc,3,FALSE)))</f>
        <v>0</v>
      </c>
      <c r="E53" s="84">
        <f>IF(VLOOKUP($B53,X_Assumptions,3,FALSE)=1,SUM(VLOOKUP($B53,X_AssumptionsInc,4,FALSE)*VLOOKUP("Total Enrollment",X_Enrollment,3,FALSE)),
IF(VLOOKUP($B53,X_Assumptions,3,FALSE)=2,SUM(VLOOKUP($B53,X_AssumptionsInc,4,FALSE)*X_Staffing_YR2_FTE),VLOOKUP($B53,X_AssumptionsInc,4,FALSE)))</f>
        <v>0</v>
      </c>
      <c r="F53" s="84">
        <f>IF(VLOOKUP($B53,X_Assumptions,3,FALSE)=1,SUM(VLOOKUP($B53,X_AssumptionsInc,5,FALSE)*VLOOKUP("Total Enrollment",X_Enrollment,4,FALSE)),
IF(VLOOKUP($B53,X_Assumptions,3,FALSE)=2,SUM(VLOOKUP($B53,X_AssumptionsInc,5,FALSE)*X_Staffing_YR3_FTE),VLOOKUP($B53,X_AssumptionsInc,5,FALSE)))</f>
        <v>0</v>
      </c>
      <c r="G53" s="84">
        <f>IF(VLOOKUP($B53,X_Assumptions,3,FALSE)=1,SUM(VLOOKUP($B53,X_AssumptionsInc,6,FALSE)*VLOOKUP("Total Enrollment",X_Enrollment,5,FALSE)),
IF(VLOOKUP($B53,X_Assumptions,3,FALSE)=2,SUM(VLOOKUP($B53,X_AssumptionsInc,6,FALSE)*X_Staffing_YR4_FTE),VLOOKUP($B53,X_AssumptionsInc,6,FALSE)))</f>
        <v>0</v>
      </c>
      <c r="H53" s="84">
        <f>IF(VLOOKUP($B53,X_Assumptions,3,FALSE)=1,SUM(VLOOKUP($B53,X_AssumptionsInc,7,FALSE)*VLOOKUP("Total Enrollment",X_Enrollment,6,FALSE)),
IF(VLOOKUP($B53,X_Assumptions,3,FALSE)=2,SUM(VLOOKUP($B53,X_AssumptionsInc,7,FALSE)*X_Staffing_YR5_FTE),VLOOKUP($B53,X_AssumptionsInc,7,FALSE)))</f>
        <v>0</v>
      </c>
      <c r="I53" s="82"/>
      <c r="J53" s="287"/>
      <c r="K53" s="52"/>
      <c r="L53" s="52"/>
      <c r="M53" s="52"/>
      <c r="N53" s="52"/>
      <c r="O53" s="52"/>
      <c r="P53" s="52"/>
      <c r="Q53" s="52"/>
      <c r="R53" s="52"/>
      <c r="S53" s="52"/>
    </row>
    <row r="54" spans="2:19" s="54" customFormat="1" ht="15" customHeight="1">
      <c r="B54" s="83" t="str">
        <f>Assumptions!C55</f>
        <v xml:space="preserve">Total 5200 - General Purpose Direct Fed. Grants - Unassigned  </v>
      </c>
      <c r="C54" s="52"/>
      <c r="D54" s="295">
        <f>SUM(D48:D53)</f>
        <v>0</v>
      </c>
      <c r="E54" s="295">
        <f>SUM(E48:E53)</f>
        <v>0</v>
      </c>
      <c r="F54" s="295">
        <f>SUM(F48:F53)</f>
        <v>0</v>
      </c>
      <c r="G54" s="295">
        <f>SUM(G48:G53)</f>
        <v>0</v>
      </c>
      <c r="H54" s="295">
        <f>SUM(H48:H53)</f>
        <v>0</v>
      </c>
      <c r="I54" s="82"/>
      <c r="J54" s="287"/>
      <c r="K54" s="52"/>
      <c r="L54" s="52"/>
      <c r="M54" s="52"/>
      <c r="N54" s="52"/>
      <c r="O54" s="52"/>
      <c r="P54" s="52"/>
      <c r="Q54" s="52"/>
      <c r="R54" s="52"/>
      <c r="S54" s="52"/>
    </row>
    <row r="55" spans="2:19" s="54" customFormat="1" ht="15" customHeight="1">
      <c r="B55" s="83" t="str">
        <f>Assumptions!C56</f>
        <v>Custom FEDERAL REVENUE - GENERAL PURPOSE</v>
      </c>
      <c r="C55" s="52"/>
      <c r="D55" s="84">
        <f>IF(VLOOKUP($B55,X_Assumptions,3,FALSE)=1,SUM(VLOOKUP($B55,X_AssumptionsInc,3,FALSE)*VLOOKUP("Total Enrollment",X_Enrollment,2,FALSE)),
IF(VLOOKUP($B55,X_Assumptions,3,FALSE)=2,SUM(VLOOKUP($B55,X_AssumptionsInc,3,FALSE)*X_Staffing_YR1_FTE),VLOOKUP($B55,X_AssumptionsInc,3,FALSE)))</f>
        <v>0</v>
      </c>
      <c r="E55" s="84">
        <f>IF(VLOOKUP($B55,X_Assumptions,3,FALSE)=1,SUM(VLOOKUP($B55,X_AssumptionsInc,4,FALSE)*VLOOKUP("Total Enrollment",X_Enrollment,3,FALSE)),
IF(VLOOKUP($B55,X_Assumptions,3,FALSE)=2,SUM(VLOOKUP($B55,X_AssumptionsInc,4,FALSE)*X_Staffing_YR2_FTE),VLOOKUP($B55,X_AssumptionsInc,4,FALSE)))</f>
        <v>0</v>
      </c>
      <c r="F55" s="84">
        <f>IF(VLOOKUP($B55,X_Assumptions,3,FALSE)=1,SUM(VLOOKUP($B55,X_AssumptionsInc,5,FALSE)*VLOOKUP("Total Enrollment",X_Enrollment,4,FALSE)),
IF(VLOOKUP($B55,X_Assumptions,3,FALSE)=2,SUM(VLOOKUP($B55,X_AssumptionsInc,5,FALSE)*X_Staffing_YR3_FTE),VLOOKUP($B55,X_AssumptionsInc,5,FALSE)))</f>
        <v>0</v>
      </c>
      <c r="G55" s="84">
        <f>IF(VLOOKUP($B55,X_Assumptions,3,FALSE)=1,SUM(VLOOKUP($B55,X_AssumptionsInc,6,FALSE)*VLOOKUP("Total Enrollment",X_Enrollment,5,FALSE)),
IF(VLOOKUP($B55,X_Assumptions,3,FALSE)=2,SUM(VLOOKUP($B55,X_AssumptionsInc,6,FALSE)*X_Staffing_YR4_FTE),VLOOKUP($B55,X_AssumptionsInc,6,FALSE)))</f>
        <v>0</v>
      </c>
      <c r="H55" s="84">
        <f>IF(VLOOKUP($B55,X_Assumptions,3,FALSE)=1,SUM(VLOOKUP($B55,X_AssumptionsInc,7,FALSE)*VLOOKUP("Total Enrollment",X_Enrollment,6,FALSE)),
IF(VLOOKUP($B55,X_Assumptions,3,FALSE)=2,SUM(VLOOKUP($B55,X_AssumptionsInc,7,FALSE)*X_Staffing_YR5_FTE),VLOOKUP($B55,X_AssumptionsInc,7,FALSE)))</f>
        <v>0</v>
      </c>
      <c r="I55" s="82"/>
      <c r="J55" s="287"/>
      <c r="K55" s="52"/>
      <c r="L55" s="52"/>
      <c r="M55" s="52"/>
      <c r="N55" s="52"/>
      <c r="O55" s="52"/>
      <c r="P55" s="52"/>
      <c r="Q55" s="52"/>
      <c r="R55" s="52"/>
      <c r="S55" s="52"/>
    </row>
    <row r="56" spans="2:19" s="54" customFormat="1" ht="15" customHeight="1" thickBot="1">
      <c r="B56" s="81" t="str">
        <f>Assumptions!C57</f>
        <v>TOTAL FEDERAL REVENUE - GENERAL PURPOSE</v>
      </c>
      <c r="C56" s="52"/>
      <c r="D56" s="87">
        <f>SUM(D54:D55)</f>
        <v>0</v>
      </c>
      <c r="E56" s="87">
        <f>SUM(E54:E55)</f>
        <v>0</v>
      </c>
      <c r="F56" s="87">
        <f>SUM(F54:F55)</f>
        <v>0</v>
      </c>
      <c r="G56" s="87">
        <f>SUM(G54:G55)</f>
        <v>0</v>
      </c>
      <c r="H56" s="87">
        <f>SUM(H54:H55)</f>
        <v>0</v>
      </c>
      <c r="I56" s="82"/>
      <c r="J56" s="287"/>
      <c r="K56" s="52"/>
      <c r="L56" s="52"/>
      <c r="M56" s="52"/>
      <c r="N56" s="52"/>
      <c r="O56" s="52"/>
      <c r="P56" s="52"/>
      <c r="Q56" s="52"/>
      <c r="R56" s="52"/>
      <c r="S56" s="52"/>
    </row>
    <row r="57" spans="2:19" s="54" customFormat="1" ht="6" customHeight="1" thickTop="1">
      <c r="B57" s="83"/>
      <c r="C57" s="52"/>
      <c r="D57" s="79"/>
      <c r="E57" s="79"/>
      <c r="F57" s="79"/>
      <c r="G57" s="79"/>
      <c r="H57" s="79"/>
      <c r="I57" s="82"/>
      <c r="J57" s="287"/>
      <c r="K57" s="52"/>
      <c r="L57" s="52"/>
      <c r="M57" s="52"/>
      <c r="N57" s="52"/>
      <c r="O57" s="52"/>
      <c r="P57" s="52"/>
      <c r="Q57" s="52"/>
      <c r="R57" s="52"/>
      <c r="S57" s="52"/>
    </row>
    <row r="58" spans="2:19" s="54" customFormat="1" ht="15" customHeight="1">
      <c r="B58" s="81" t="str">
        <f>Assumptions!C59</f>
        <v>6000 - FEDERAL REVENUE - SPECIAL PURPOSE</v>
      </c>
      <c r="C58" s="52"/>
      <c r="D58" s="79"/>
      <c r="E58" s="79"/>
      <c r="F58" s="79"/>
      <c r="G58" s="79"/>
      <c r="H58" s="79"/>
      <c r="I58" s="82"/>
      <c r="J58" s="287"/>
      <c r="K58" s="52"/>
      <c r="L58" s="52"/>
      <c r="M58" s="52"/>
      <c r="N58" s="52"/>
      <c r="O58" s="52"/>
      <c r="P58" s="52"/>
      <c r="Q58" s="52"/>
      <c r="R58" s="52"/>
      <c r="S58" s="52"/>
    </row>
    <row r="59" spans="2:19" s="54" customFormat="1" ht="15" customHeight="1">
      <c r="B59" s="83" t="str">
        <f>Assumptions!C60</f>
        <v xml:space="preserve">6100 - Special Purpose - OSPI Unassigned    </v>
      </c>
      <c r="C59" s="52"/>
      <c r="D59" s="84">
        <f>IF(VLOOKUP($B59,X_Assumptions,3,FALSE)=1,SUM(VLOOKUP($B59,X_AssumptionsInc,3,FALSE)*VLOOKUP("Total Enrollment",X_Enrollment,2,FALSE)),
IF(VLOOKUP($B59,X_Assumptions,3,FALSE)=2,SUM(VLOOKUP($B59,X_AssumptionsInc,3,FALSE)*X_Staffing_YR1_FTE),VLOOKUP($B59,X_AssumptionsInc,3,FALSE)))</f>
        <v>0</v>
      </c>
      <c r="E59" s="84">
        <f>IF(VLOOKUP($B59,X_Assumptions,3,FALSE)=1,SUM(VLOOKUP($B59,X_AssumptionsInc,4,FALSE)*VLOOKUP("Total Enrollment",X_Enrollment,3,FALSE)),
IF(VLOOKUP($B59,X_Assumptions,3,FALSE)=2,SUM(VLOOKUP($B59,X_AssumptionsInc,4,FALSE)*X_Staffing_YR2_FTE),VLOOKUP($B59,X_AssumptionsInc,4,FALSE)))</f>
        <v>0</v>
      </c>
      <c r="F59" s="84">
        <f>IF(VLOOKUP($B59,X_Assumptions,3,FALSE)=1,SUM(VLOOKUP($B59,X_AssumptionsInc,5,FALSE)*VLOOKUP("Total Enrollment",X_Enrollment,4,FALSE)),
IF(VLOOKUP($B59,X_Assumptions,3,FALSE)=2,SUM(VLOOKUP($B59,X_AssumptionsInc,5,FALSE)*X_Staffing_YR3_FTE),VLOOKUP($B59,X_AssumptionsInc,5,FALSE)))</f>
        <v>0</v>
      </c>
      <c r="G59" s="84">
        <f>IF(VLOOKUP($B59,X_Assumptions,3,FALSE)=1,SUM(VLOOKUP($B59,X_AssumptionsInc,6,FALSE)*VLOOKUP("Total Enrollment",X_Enrollment,5,FALSE)),
IF(VLOOKUP($B59,X_Assumptions,3,FALSE)=2,SUM(VLOOKUP($B59,X_AssumptionsInc,6,FALSE)*X_Staffing_YR4_FTE),VLOOKUP($B59,X_AssumptionsInc,6,FALSE)))</f>
        <v>0</v>
      </c>
      <c r="H59" s="84">
        <f>IF(VLOOKUP($B59,X_Assumptions,3,FALSE)=1,SUM(VLOOKUP($B59,X_AssumptionsInc,7,FALSE)*VLOOKUP("Total Enrollment",X_Enrollment,6,FALSE)),
IF(VLOOKUP($B59,X_Assumptions,3,FALSE)=2,SUM(VLOOKUP($B59,X_AssumptionsInc,7,FALSE)*X_Staffing_YR5_FTE),VLOOKUP($B59,X_AssumptionsInc,7,FALSE)))</f>
        <v>0</v>
      </c>
      <c r="I59" s="82"/>
      <c r="J59" s="287"/>
      <c r="K59" s="52"/>
      <c r="L59" s="52"/>
      <c r="M59" s="52"/>
      <c r="N59" s="52"/>
      <c r="O59" s="52"/>
      <c r="P59" s="52"/>
      <c r="Q59" s="52"/>
      <c r="R59" s="52"/>
      <c r="S59" s="52"/>
    </row>
    <row r="60" spans="2:19" s="54" customFormat="1" ht="15" customHeight="1">
      <c r="B60" s="83" t="str">
        <f>Assumptions!C61</f>
        <v xml:space="preserve">6198 - School Food Services     </v>
      </c>
      <c r="C60" s="52"/>
      <c r="D60" s="84">
        <f>IF(VLOOKUP($B60,X_Assumptions,3,FALSE)=1,SUM(VLOOKUP($B60,X_AssumptionsInc,3,FALSE)*VLOOKUP("Total Enrollment",X_Enrollment,2,FALSE)),
IF(VLOOKUP($B60,X_Assumptions,3,FALSE)=2,SUM(VLOOKUP($B60,X_AssumptionsInc,3,FALSE)*X_Staffing_YR1_FTE),VLOOKUP($B60,X_AssumptionsInc,3,FALSE)))</f>
        <v>0</v>
      </c>
      <c r="E60" s="84">
        <f>IF(VLOOKUP($B60,X_Assumptions,3,FALSE)=1,SUM(VLOOKUP($B60,X_AssumptionsInc,4,FALSE)*VLOOKUP("Total Enrollment",X_Enrollment,3,FALSE)),
IF(VLOOKUP($B60,X_Assumptions,3,FALSE)=2,SUM(VLOOKUP($B60,X_AssumptionsInc,4,FALSE)*X_Staffing_YR2_FTE),VLOOKUP($B60,X_AssumptionsInc,4,FALSE)))</f>
        <v>0</v>
      </c>
      <c r="F60" s="84">
        <f>IF(VLOOKUP($B60,X_Assumptions,3,FALSE)=1,SUM(VLOOKUP($B60,X_AssumptionsInc,5,FALSE)*VLOOKUP("Total Enrollment",X_Enrollment,4,FALSE)),
IF(VLOOKUP($B60,X_Assumptions,3,FALSE)=2,SUM(VLOOKUP($B60,X_AssumptionsInc,5,FALSE)*X_Staffing_YR3_FTE),VLOOKUP($B60,X_AssumptionsInc,5,FALSE)))</f>
        <v>0</v>
      </c>
      <c r="G60" s="84">
        <f>IF(VLOOKUP($B60,X_Assumptions,3,FALSE)=1,SUM(VLOOKUP($B60,X_AssumptionsInc,6,FALSE)*VLOOKUP("Total Enrollment",X_Enrollment,5,FALSE)),
IF(VLOOKUP($B60,X_Assumptions,3,FALSE)=2,SUM(VLOOKUP($B60,X_AssumptionsInc,6,FALSE)*X_Staffing_YR4_FTE),VLOOKUP($B60,X_AssumptionsInc,6,FALSE)))</f>
        <v>0</v>
      </c>
      <c r="H60" s="84">
        <f>IF(VLOOKUP($B60,X_Assumptions,3,FALSE)=1,SUM(VLOOKUP($B60,X_AssumptionsInc,7,FALSE)*VLOOKUP("Total Enrollment",X_Enrollment,6,FALSE)),
IF(VLOOKUP($B60,X_Assumptions,3,FALSE)=2,SUM(VLOOKUP($B60,X_AssumptionsInc,7,FALSE)*X_Staffing_YR5_FTE),VLOOKUP($B60,X_AssumptionsInc,7,FALSE)))</f>
        <v>0</v>
      </c>
      <c r="I60" s="82"/>
      <c r="J60" s="287"/>
      <c r="K60" s="52"/>
      <c r="L60" s="52"/>
      <c r="M60" s="52"/>
      <c r="N60" s="52"/>
      <c r="O60" s="52"/>
      <c r="P60" s="52"/>
      <c r="Q60" s="52"/>
      <c r="R60" s="52"/>
      <c r="S60" s="52"/>
    </row>
    <row r="61" spans="2:19" s="54" customFormat="1" ht="15" customHeight="1">
      <c r="B61" s="328" t="str">
        <f>Assumptions!C62</f>
        <v>Free Breakfast Reimbursement</v>
      </c>
      <c r="C61" s="52"/>
      <c r="D61" s="84">
        <f>VLOOKUP($B61,X_AssumptionsInc,3,FALSE)*VLOOKUP("Student Count Qualifying for Free Lunch",X_Enrollment,2,FALSE)*VLOOKUP("Average Daily Attendance %",X_Enrollment,2,FALSE)*X_SchoolDays</f>
        <v>0</v>
      </c>
      <c r="E61" s="84">
        <f>VLOOKUP($B61,X_AssumptionsInc,4,FALSE)*VLOOKUP("Student Count Qualifying for Free Lunch",X_Enrollment,3,FALSE)*VLOOKUP("Average Daily Attendance %",X_Enrollment,3,FALSE)*X_SchoolDays</f>
        <v>0</v>
      </c>
      <c r="F61" s="84">
        <f>VLOOKUP($B61,X_AssumptionsInc,5,FALSE)*VLOOKUP("Student Count Qualifying for Free Lunch",X_Enrollment,4,FALSE)*VLOOKUP("Average Daily Attendance %",X_Enrollment,4,FALSE)*X_SchoolDays</f>
        <v>0</v>
      </c>
      <c r="G61" s="84">
        <f>VLOOKUP($B61,X_AssumptionsInc,6,FALSE)*VLOOKUP("Student Count Qualifying for Free Lunch",X_Enrollment,5,FALSE)*VLOOKUP("Average Daily Attendance %",X_Enrollment,5,FALSE)*X_SchoolDays</f>
        <v>0</v>
      </c>
      <c r="H61" s="84">
        <f>VLOOKUP($B61,X_AssumptionsInc,7,FALSE)*VLOOKUP("Student Count Qualifying for Free Lunch",X_Enrollment,6,FALSE)*VLOOKUP("Average Daily Attendance %",X_Enrollment,6,FALSE)*X_SchoolDays</f>
        <v>0</v>
      </c>
      <c r="I61" s="82"/>
      <c r="J61" s="287"/>
      <c r="K61" s="52"/>
      <c r="L61" s="52"/>
      <c r="M61" s="52"/>
      <c r="N61" s="52"/>
      <c r="O61" s="52"/>
      <c r="P61" s="52"/>
      <c r="Q61" s="52"/>
      <c r="R61" s="52"/>
      <c r="S61" s="52"/>
    </row>
    <row r="62" spans="2:19" s="54" customFormat="1" ht="15" customHeight="1">
      <c r="B62" s="328" t="str">
        <f>Assumptions!C63</f>
        <v>Reduced Breakfast Reimbursement</v>
      </c>
      <c r="C62" s="52"/>
      <c r="D62" s="84">
        <f>VLOOKUP($B62,X_AssumptionsInc,3,FALSE)*VLOOKUP("Student Count Qualifying for Reduced Lunch",X_Enrollment,2,FALSE)*VLOOKUP("Average Daily Attendance %",X_Enrollment,2,FALSE)*X_SchoolDays</f>
        <v>0</v>
      </c>
      <c r="E62" s="84">
        <f>VLOOKUP($B62,X_AssumptionsInc,4,FALSE)*VLOOKUP("Student Count Qualifying for Reduced Lunch",X_Enrollment,3,FALSE)*VLOOKUP("Average Daily Attendance %",X_Enrollment,3,FALSE)*X_SchoolDays</f>
        <v>0</v>
      </c>
      <c r="F62" s="84">
        <f>VLOOKUP($B62,X_AssumptionsInc,5,FALSE)*VLOOKUP("Student Count Qualifying for Reduced Lunch",X_Enrollment,4,FALSE)*VLOOKUP("Average Daily Attendance %",X_Enrollment,4,FALSE)*X_SchoolDays</f>
        <v>0</v>
      </c>
      <c r="G62" s="84">
        <f>VLOOKUP($B62,X_AssumptionsInc,6,FALSE)*VLOOKUP("Student Count Qualifying for Reduced Lunch",X_Enrollment,5,FALSE)*VLOOKUP("Average Daily Attendance %",X_Enrollment,5,FALSE)*X_SchoolDays</f>
        <v>0</v>
      </c>
      <c r="H62" s="84">
        <f>VLOOKUP($B62,X_AssumptionsInc,7,FALSE)*VLOOKUP("Student Count Qualifying for Reduced Lunch",X_Enrollment,6,FALSE)*VLOOKUP("Average Daily Attendance %",X_Enrollment,6,FALSE)*X_SchoolDays</f>
        <v>0</v>
      </c>
      <c r="I62" s="82"/>
      <c r="J62" s="287"/>
      <c r="K62" s="52"/>
      <c r="L62" s="52"/>
      <c r="M62" s="52"/>
      <c r="N62" s="52"/>
      <c r="O62" s="52"/>
      <c r="P62" s="52"/>
      <c r="Q62" s="52"/>
      <c r="R62" s="52"/>
      <c r="S62" s="52"/>
    </row>
    <row r="63" spans="2:19" s="54" customFormat="1" ht="15" customHeight="1">
      <c r="B63" s="328" t="str">
        <f>Assumptions!C64</f>
        <v>Paid Breakfast Reimbursement</v>
      </c>
      <c r="C63" s="52"/>
      <c r="D63" s="84">
        <f>VLOOKUP($B63,X_AssumptionsInc,3,FALSE)*SUM(VLOOKUP("Total Enrollment",X_Enrollment,2,FALSE)-VLOOKUP("Student Count Qualifying for Free or Reduced Lunch",X_Enrollment,2,FALSE))*VLOOKUP("Average Daily Attendance %",X_Enrollment,2,FALSE)*X_SchoolDays</f>
        <v>0</v>
      </c>
      <c r="E63" s="84">
        <f>VLOOKUP($B63,X_AssumptionsInc,4,FALSE)*SUM(VLOOKUP("Total Enrollment",X_Enrollment,3,FALSE)-VLOOKUP("Student Count Qualifying for Free or Reduced Lunch",X_Enrollment,3,FALSE))*VLOOKUP("Average Daily Attendance %",X_Enrollment,3,FALSE)*X_SchoolDays</f>
        <v>0</v>
      </c>
      <c r="F63" s="84">
        <f>VLOOKUP($B63,X_AssumptionsInc,5,FALSE)*SUM(VLOOKUP("Total Enrollment",X_Enrollment,4,FALSE)-VLOOKUP("Student Count Qualifying for Free or Reduced Lunch",X_Enrollment,4,FALSE))*VLOOKUP("Average Daily Attendance %",X_Enrollment,4,FALSE)*X_SchoolDays</f>
        <v>0</v>
      </c>
      <c r="G63" s="84">
        <f>VLOOKUP($B63,X_AssumptionsInc,6,FALSE)*SUM(VLOOKUP("Total Enrollment",X_Enrollment,5,FALSE)-VLOOKUP("Student Count Qualifying for Free or Reduced Lunch",X_Enrollment,5,FALSE))*VLOOKUP("Average Daily Attendance %",X_Enrollment,5,FALSE)*X_SchoolDays</f>
        <v>0</v>
      </c>
      <c r="H63" s="84">
        <f>VLOOKUP($B63,X_AssumptionsInc,7,FALSE)*SUM(VLOOKUP("Total Enrollment",X_Enrollment,6,FALSE)-VLOOKUP("Student Count Qualifying for Free or Reduced Lunch",X_Enrollment,6,FALSE))*VLOOKUP("Average Daily Attendance %",X_Enrollment,6,FALSE)*X_SchoolDays</f>
        <v>0</v>
      </c>
      <c r="I63" s="82"/>
      <c r="J63" s="287"/>
      <c r="K63" s="52"/>
      <c r="L63" s="52"/>
      <c r="M63" s="52"/>
      <c r="N63" s="52"/>
      <c r="O63" s="52"/>
      <c r="P63" s="52"/>
      <c r="Q63" s="52"/>
      <c r="R63" s="52"/>
      <c r="S63" s="52"/>
    </row>
    <row r="64" spans="2:19" s="54" customFormat="1" ht="15" customHeight="1">
      <c r="B64" s="328" t="str">
        <f>Assumptions!C65</f>
        <v xml:space="preserve">Free Lunch Reimbursement </v>
      </c>
      <c r="C64" s="52"/>
      <c r="D64" s="84">
        <f>VLOOKUP($B64,X_AssumptionsInc,3,FALSE)*VLOOKUP("Student Count Qualifying for Free Lunch",X_Enrollment,2,FALSE)*VLOOKUP("Average Daily Attendance %",X_Enrollment,2,FALSE)*X_SchoolDays</f>
        <v>0</v>
      </c>
      <c r="E64" s="84">
        <f>VLOOKUP($B64,X_AssumptionsInc,4,FALSE)*VLOOKUP("Student Count Qualifying for Free Lunch",X_Enrollment,3,FALSE)*VLOOKUP("Average Daily Attendance %",X_Enrollment,3,FALSE)*X_SchoolDays</f>
        <v>0</v>
      </c>
      <c r="F64" s="84">
        <f>VLOOKUP($B64,X_AssumptionsInc,5,FALSE)*VLOOKUP("Student Count Qualifying for Free Lunch",X_Enrollment,4,FALSE)*VLOOKUP("Average Daily Attendance %",X_Enrollment,4,FALSE)*X_SchoolDays</f>
        <v>0</v>
      </c>
      <c r="G64" s="84">
        <f>VLOOKUP($B64,X_AssumptionsInc,6,FALSE)*VLOOKUP("Student Count Qualifying for Free Lunch",X_Enrollment,5,FALSE)*VLOOKUP("Average Daily Attendance %",X_Enrollment,5,FALSE)*X_SchoolDays</f>
        <v>0</v>
      </c>
      <c r="H64" s="84">
        <f>VLOOKUP($B64,X_AssumptionsInc,7,FALSE)*VLOOKUP("Student Count Qualifying for Free Lunch",X_Enrollment,6,FALSE)*VLOOKUP("Average Daily Attendance %",X_Enrollment,6,FALSE)*X_SchoolDays</f>
        <v>0</v>
      </c>
      <c r="I64" s="82"/>
      <c r="J64" s="287"/>
      <c r="K64" s="52"/>
      <c r="L64" s="52"/>
      <c r="M64" s="52"/>
      <c r="N64" s="52"/>
      <c r="O64" s="52"/>
      <c r="P64" s="52"/>
      <c r="Q64" s="52"/>
      <c r="R64" s="52"/>
      <c r="S64" s="52"/>
    </row>
    <row r="65" spans="2:19" s="54" customFormat="1" ht="15" customHeight="1">
      <c r="B65" s="328" t="str">
        <f>Assumptions!C66</f>
        <v>Reduced Lunch Reimbursement</v>
      </c>
      <c r="C65" s="52"/>
      <c r="D65" s="84">
        <f>VLOOKUP($B65,X_AssumptionsInc,3,FALSE)*VLOOKUP("Student Count Qualifying for Reduced Lunch",X_Enrollment,2,FALSE)*VLOOKUP("Average Daily Attendance %",X_Enrollment,2,FALSE)*X_SchoolDays</f>
        <v>0</v>
      </c>
      <c r="E65" s="84">
        <f>VLOOKUP($B65,X_AssumptionsInc,4,FALSE)*VLOOKUP("Student Count Qualifying for Reduced Lunch",X_Enrollment,3,FALSE)*VLOOKUP("Average Daily Attendance %",X_Enrollment,3,FALSE)*X_SchoolDays</f>
        <v>0</v>
      </c>
      <c r="F65" s="84">
        <f>VLOOKUP($B65,X_AssumptionsInc,5,FALSE)*VLOOKUP("Student Count Qualifying for Reduced Lunch",X_Enrollment,4,FALSE)*VLOOKUP("Average Daily Attendance %",X_Enrollment,4,FALSE)*X_SchoolDays</f>
        <v>0</v>
      </c>
      <c r="G65" s="84">
        <f>VLOOKUP($B65,X_AssumptionsInc,6,FALSE)*VLOOKUP("Student Count Qualifying for Reduced Lunch",X_Enrollment,5,FALSE)*VLOOKUP("Average Daily Attendance %",X_Enrollment,5,FALSE)*X_SchoolDays</f>
        <v>0</v>
      </c>
      <c r="H65" s="84">
        <f>VLOOKUP($B65,X_AssumptionsInc,7,FALSE)*VLOOKUP("Student Count Qualifying for Reduced Lunch",X_Enrollment,6,FALSE)*VLOOKUP("Average Daily Attendance %",X_Enrollment,6,FALSE)*X_SchoolDays</f>
        <v>0</v>
      </c>
      <c r="I65" s="82"/>
      <c r="J65" s="287"/>
      <c r="K65" s="52"/>
      <c r="L65" s="52"/>
      <c r="M65" s="52"/>
      <c r="N65" s="52"/>
      <c r="O65" s="52"/>
      <c r="P65" s="52"/>
      <c r="Q65" s="52"/>
      <c r="R65" s="52"/>
      <c r="S65" s="52"/>
    </row>
    <row r="66" spans="2:19" s="54" customFormat="1" ht="15" customHeight="1">
      <c r="B66" s="328" t="str">
        <f>Assumptions!C67</f>
        <v>Paid Lunch Reimbursement</v>
      </c>
      <c r="C66" s="52"/>
      <c r="D66" s="84">
        <f>VLOOKUP($B66,X_AssumptionsInc,3,FALSE)*SUM(VLOOKUP("Total Enrollment",X_Enrollment,2,FALSE)-VLOOKUP("Student Count Qualifying for Free or Reduced Lunch",X_Enrollment,2,FALSE))*VLOOKUP("Average Daily Attendance %",X_Enrollment,2,FALSE)*X_SchoolDays</f>
        <v>0</v>
      </c>
      <c r="E66" s="84">
        <f>VLOOKUP($B66,X_AssumptionsInc,4,FALSE)*SUM(VLOOKUP("Total Enrollment",X_Enrollment,3,FALSE)-VLOOKUP("Student Count Qualifying for Free or Reduced Lunch",X_Enrollment,3,FALSE))*VLOOKUP("Average Daily Attendance %",X_Enrollment,3,FALSE)*X_SchoolDays</f>
        <v>0</v>
      </c>
      <c r="F66" s="84">
        <f>VLOOKUP($B66,X_AssumptionsInc,5,FALSE)*SUM(VLOOKUP("Total Enrollment",X_Enrollment,4,FALSE)-VLOOKUP("Student Count Qualifying for Free or Reduced Lunch",X_Enrollment,4,FALSE))*VLOOKUP("Average Daily Attendance %",X_Enrollment,4,FALSE)*X_SchoolDays</f>
        <v>0</v>
      </c>
      <c r="G66" s="84">
        <f>VLOOKUP($B66,X_AssumptionsInc,6,FALSE)*SUM(VLOOKUP("Total Enrollment",X_Enrollment,5,FALSE)-VLOOKUP("Student Count Qualifying for Free or Reduced Lunch",X_Enrollment,5,FALSE))*VLOOKUP("Average Daily Attendance %",X_Enrollment,5,FALSE)*X_SchoolDays</f>
        <v>0</v>
      </c>
      <c r="H66" s="84">
        <f>VLOOKUP($B66,X_AssumptionsInc,7,FALSE)*SUM(VLOOKUP("Total Enrollment",X_Enrollment,6,FALSE)-VLOOKUP("Student Count Qualifying for Free or Reduced Lunch",X_Enrollment,6,FALSE))*VLOOKUP("Average Daily Attendance %",X_Enrollment,6,FALSE)*X_SchoolDays</f>
        <v>0</v>
      </c>
      <c r="I66" s="82"/>
      <c r="J66" s="287"/>
      <c r="K66" s="52"/>
      <c r="L66" s="52"/>
      <c r="M66" s="52"/>
      <c r="N66" s="52"/>
      <c r="O66" s="52"/>
      <c r="P66" s="52"/>
      <c r="Q66" s="52"/>
      <c r="R66" s="52"/>
      <c r="S66" s="52"/>
    </row>
    <row r="67" spans="2:19" s="54" customFormat="1" ht="15" customHeight="1">
      <c r="B67" s="328" t="str">
        <f>Assumptions!C68</f>
        <v>Snack Reimbursement</v>
      </c>
      <c r="C67" s="52"/>
      <c r="D67" s="84">
        <f>VLOOKUP($B67,X_AssumptionsInc,3,FALSE)*VLOOKUP("Total Enrollment",X_Enrollment,2,FALSE)*VLOOKUP("Average Daily Attendance %",X_Enrollment,2,FALSE)*X_SchoolDays</f>
        <v>0</v>
      </c>
      <c r="E67" s="84">
        <f>VLOOKUP($B67,X_AssumptionsInc,4,FALSE)*VLOOKUP("Total Enrollment",X_Enrollment,3,FALSE)*VLOOKUP("Average Daily Attendance %",X_Enrollment,3,FALSE)*X_SchoolDays</f>
        <v>0</v>
      </c>
      <c r="F67" s="84">
        <f>VLOOKUP($B67,X_AssumptionsInc,5,FALSE)*VLOOKUP("Total Enrollment",X_Enrollment,4,FALSE)*VLOOKUP("Average Daily Attendance %",X_Enrollment,4,FALSE)*X_SchoolDays</f>
        <v>0</v>
      </c>
      <c r="G67" s="84">
        <f>VLOOKUP($B67,X_AssumptionsInc,6,FALSE)*VLOOKUP("Total Enrollment",X_Enrollment,5,FALSE)*VLOOKUP("Average Daily Attendance %",X_Enrollment,5,FALSE)*X_SchoolDays</f>
        <v>0</v>
      </c>
      <c r="H67" s="84">
        <f>VLOOKUP($B67,X_AssumptionsInc,7,FALSE)*VLOOKUP("Total Enrollment",X_Enrollment,6,FALSE)*VLOOKUP("Average Daily Attendance %",X_Enrollment,6,FALSE)*X_SchoolDays</f>
        <v>0</v>
      </c>
      <c r="I67" s="82"/>
      <c r="J67" s="287"/>
      <c r="K67" s="52"/>
      <c r="L67" s="52"/>
      <c r="M67" s="52"/>
      <c r="N67" s="52"/>
      <c r="O67" s="52"/>
      <c r="P67" s="52"/>
      <c r="Q67" s="52"/>
      <c r="R67" s="52"/>
      <c r="S67" s="52"/>
    </row>
    <row r="68" spans="2:19" s="54" customFormat="1" ht="15" customHeight="1">
      <c r="B68" s="83" t="str">
        <f>Assumptions!C69</f>
        <v xml:space="preserve">Total 6198 - School Food Services     </v>
      </c>
      <c r="C68" s="52"/>
      <c r="D68" s="295">
        <f>SUM(D60:D67)</f>
        <v>0</v>
      </c>
      <c r="E68" s="295">
        <f>SUM(E60:E67)</f>
        <v>0</v>
      </c>
      <c r="F68" s="295">
        <f>SUM(F60:F67)</f>
        <v>0</v>
      </c>
      <c r="G68" s="295">
        <f>SUM(G60:G67)</f>
        <v>0</v>
      </c>
      <c r="H68" s="295">
        <f>SUM(H60:H67)</f>
        <v>0</v>
      </c>
      <c r="I68" s="82"/>
      <c r="J68" s="287"/>
      <c r="K68" s="52"/>
      <c r="L68" s="52"/>
      <c r="M68" s="52"/>
      <c r="N68" s="52"/>
      <c r="O68" s="52"/>
      <c r="P68" s="52"/>
      <c r="Q68" s="52"/>
      <c r="R68" s="52"/>
      <c r="S68" s="52"/>
    </row>
    <row r="69" spans="2:19" s="54" customFormat="1" ht="15" customHeight="1">
      <c r="B69" s="83" t="str">
        <f>Assumptions!C70</f>
        <v>Custom FEDERAL REVENUE - SPECIAL PURPOSE</v>
      </c>
      <c r="C69" s="52"/>
      <c r="D69" s="84">
        <f>IF(VLOOKUP($B69,X_Assumptions,3,FALSE)=1,SUM(VLOOKUP($B69,X_AssumptionsInc,3,FALSE)*VLOOKUP("Total Enrollment",X_Enrollment,2,FALSE)),
IF(VLOOKUP($B69,X_Assumptions,3,FALSE)=2,SUM(VLOOKUP($B69,X_AssumptionsInc,3,FALSE)*X_Staffing_YR1_FTE),VLOOKUP($B69,X_AssumptionsInc,3,FALSE)))</f>
        <v>0</v>
      </c>
      <c r="E69" s="84">
        <f>IF(VLOOKUP($B69,X_Assumptions,3,FALSE)=1,SUM(VLOOKUP($B69,X_AssumptionsInc,4,FALSE)*VLOOKUP("Total Enrollment",X_Enrollment,3,FALSE)),
IF(VLOOKUP($B69,X_Assumptions,3,FALSE)=2,SUM(VLOOKUP($B69,X_AssumptionsInc,4,FALSE)*X_Staffing_YR2_FTE),VLOOKUP($B69,X_AssumptionsInc,4,FALSE)))</f>
        <v>0</v>
      </c>
      <c r="F69" s="84">
        <f>IF(VLOOKUP($B69,X_Assumptions,3,FALSE)=1,SUM(VLOOKUP($B69,X_AssumptionsInc,5,FALSE)*VLOOKUP("Total Enrollment",X_Enrollment,4,FALSE)),
IF(VLOOKUP($B69,X_Assumptions,3,FALSE)=2,SUM(VLOOKUP($B69,X_AssumptionsInc,5,FALSE)*X_Staffing_YR3_FTE),VLOOKUP($B69,X_AssumptionsInc,5,FALSE)))</f>
        <v>0</v>
      </c>
      <c r="G69" s="84">
        <f>IF(VLOOKUP($B69,X_Assumptions,3,FALSE)=1,SUM(VLOOKUP($B69,X_AssumptionsInc,6,FALSE)*VLOOKUP("Total Enrollment",X_Enrollment,5,FALSE)),
IF(VLOOKUP($B69,X_Assumptions,3,FALSE)=2,SUM(VLOOKUP($B69,X_AssumptionsInc,6,FALSE)*X_Staffing_YR4_FTE),VLOOKUP($B69,X_AssumptionsInc,6,FALSE)))</f>
        <v>0</v>
      </c>
      <c r="H69" s="84">
        <f>IF(VLOOKUP($B69,X_Assumptions,3,FALSE)=1,SUM(VLOOKUP($B69,X_AssumptionsInc,7,FALSE)*VLOOKUP("Total Enrollment",X_Enrollment,6,FALSE)),
IF(VLOOKUP($B69,X_Assumptions,3,FALSE)=2,SUM(VLOOKUP($B69,X_AssumptionsInc,7,FALSE)*X_Staffing_YR5_FTE),VLOOKUP($B69,X_AssumptionsInc,7,FALSE)))</f>
        <v>0</v>
      </c>
      <c r="I69" s="82"/>
      <c r="J69" s="287"/>
      <c r="K69" s="52"/>
      <c r="L69" s="52"/>
      <c r="M69" s="52"/>
      <c r="N69" s="52"/>
      <c r="O69" s="52"/>
      <c r="P69" s="52"/>
      <c r="Q69" s="52"/>
      <c r="R69" s="52"/>
      <c r="S69" s="52"/>
    </row>
    <row r="70" spans="2:19" s="54" customFormat="1" ht="15" customHeight="1" thickBot="1">
      <c r="B70" s="81" t="str">
        <f>Assumptions!C71</f>
        <v>TOTAL FEDERAL REVENUE - SPECIAL PURPOSE</v>
      </c>
      <c r="C70" s="52"/>
      <c r="D70" s="87">
        <f>SUM(D59,D68,D69)</f>
        <v>0</v>
      </c>
      <c r="E70" s="87">
        <f>SUM(E59,E68,E69)</f>
        <v>0</v>
      </c>
      <c r="F70" s="87">
        <f>SUM(F59,F68,F69)</f>
        <v>0</v>
      </c>
      <c r="G70" s="87">
        <f>SUM(G59,G68,G69)</f>
        <v>0</v>
      </c>
      <c r="H70" s="87">
        <f>SUM(H59,H68,H69)</f>
        <v>0</v>
      </c>
      <c r="I70" s="82"/>
      <c r="J70" s="287"/>
      <c r="K70" s="52"/>
      <c r="L70" s="52"/>
      <c r="M70" s="52"/>
      <c r="N70" s="52"/>
      <c r="O70" s="52"/>
      <c r="P70" s="52"/>
      <c r="Q70" s="52"/>
      <c r="R70" s="52"/>
      <c r="S70" s="52"/>
    </row>
    <row r="71" spans="2:19" s="54" customFormat="1" ht="6" customHeight="1" thickTop="1">
      <c r="B71" s="83"/>
      <c r="C71" s="52"/>
      <c r="D71" s="79"/>
      <c r="E71" s="79"/>
      <c r="F71" s="79"/>
      <c r="G71" s="79"/>
      <c r="H71" s="79"/>
      <c r="I71" s="82"/>
      <c r="J71" s="287"/>
      <c r="K71" s="52"/>
      <c r="L71" s="52"/>
      <c r="M71" s="52"/>
      <c r="N71" s="52"/>
      <c r="O71" s="52"/>
      <c r="P71" s="52"/>
      <c r="Q71" s="52"/>
      <c r="R71" s="52"/>
      <c r="S71" s="52"/>
    </row>
    <row r="72" spans="2:19" s="54" customFormat="1" ht="15" customHeight="1">
      <c r="B72" s="81" t="str">
        <f>Assumptions!C73</f>
        <v>7000 - OTHER SCHOOL DISTRICTS</v>
      </c>
      <c r="C72" s="52"/>
      <c r="D72" s="79"/>
      <c r="E72" s="79"/>
      <c r="F72" s="79"/>
      <c r="G72" s="79"/>
      <c r="H72" s="79"/>
      <c r="I72" s="82"/>
      <c r="J72" s="287"/>
      <c r="K72" s="52"/>
      <c r="L72" s="52"/>
      <c r="M72" s="52"/>
      <c r="N72" s="52"/>
      <c r="O72" s="52"/>
      <c r="P72" s="52"/>
      <c r="Q72" s="52"/>
      <c r="R72" s="52"/>
      <c r="S72" s="52"/>
    </row>
    <row r="73" spans="2:19" s="54" customFormat="1" ht="15" customHeight="1">
      <c r="B73" s="83" t="str">
        <f>Assumptions!C74</f>
        <v xml:space="preserve">7100 - Program Participation, Unassigned </v>
      </c>
      <c r="C73" s="52"/>
      <c r="D73" s="84">
        <f>IF(VLOOKUP($B73,X_Assumptions,3,FALSE)=1,SUM(VLOOKUP($B73,X_AssumptionsInc,3,FALSE)*VLOOKUP("Total Enrollment",X_Enrollment,2,FALSE)),
IF(VLOOKUP($B73,X_Assumptions,3,FALSE)=2,SUM(VLOOKUP($B73,X_AssumptionsInc,3,FALSE)*X_Staffing_YR1_FTE),VLOOKUP($B73,X_AssumptionsInc,3,FALSE)))</f>
        <v>0</v>
      </c>
      <c r="E73" s="84">
        <f>IF(VLOOKUP($B73,X_Assumptions,3,FALSE)=1,SUM(VLOOKUP($B73,X_AssumptionsInc,4,FALSE)*VLOOKUP("Total Enrollment",X_Enrollment,3,FALSE)),
IF(VLOOKUP($B73,X_Assumptions,3,FALSE)=2,SUM(VLOOKUP($B73,X_AssumptionsInc,4,FALSE)*X_Staffing_YR2_FTE),VLOOKUP($B73,X_AssumptionsInc,4,FALSE)))</f>
        <v>0</v>
      </c>
      <c r="F73" s="84">
        <f>IF(VLOOKUP($B73,X_Assumptions,3,FALSE)=1,SUM(VLOOKUP($B73,X_AssumptionsInc,5,FALSE)*VLOOKUP("Total Enrollment",X_Enrollment,4,FALSE)),
IF(VLOOKUP($B73,X_Assumptions,3,FALSE)=2,SUM(VLOOKUP($B73,X_AssumptionsInc,5,FALSE)*X_Staffing_YR3_FTE),VLOOKUP($B73,X_AssumptionsInc,5,FALSE)))</f>
        <v>0</v>
      </c>
      <c r="G73" s="84">
        <f>IF(VLOOKUP($B73,X_Assumptions,3,FALSE)=1,SUM(VLOOKUP($B73,X_AssumptionsInc,6,FALSE)*VLOOKUP("Total Enrollment",X_Enrollment,5,FALSE)),
IF(VLOOKUP($B73,X_Assumptions,3,FALSE)=2,SUM(VLOOKUP($B73,X_AssumptionsInc,6,FALSE)*X_Staffing_YR4_FTE),VLOOKUP($B73,X_AssumptionsInc,6,FALSE)))</f>
        <v>0</v>
      </c>
      <c r="H73" s="84">
        <f>IF(VLOOKUP($B73,X_Assumptions,3,FALSE)=1,SUM(VLOOKUP($B73,X_AssumptionsInc,7,FALSE)*VLOOKUP("Total Enrollment",X_Enrollment,6,FALSE)),
IF(VLOOKUP($B73,X_Assumptions,3,FALSE)=2,SUM(VLOOKUP($B73,X_AssumptionsInc,7,FALSE)*X_Staffing_YR5_FTE),VLOOKUP($B73,X_AssumptionsInc,7,FALSE)))</f>
        <v>0</v>
      </c>
      <c r="I73" s="82"/>
      <c r="J73" s="287"/>
      <c r="K73" s="52"/>
      <c r="L73" s="52"/>
      <c r="M73" s="52"/>
      <c r="N73" s="52"/>
      <c r="O73" s="52"/>
      <c r="P73" s="52"/>
      <c r="Q73" s="52"/>
      <c r="R73" s="52"/>
      <c r="S73" s="52"/>
    </row>
    <row r="74" spans="2:19" s="54" customFormat="1" ht="15" customHeight="1">
      <c r="B74" s="83" t="str">
        <f>Assumptions!C75</f>
        <v>Custom OTHER SCHOOL DISTRICTS</v>
      </c>
      <c r="C74" s="52"/>
      <c r="D74" s="84">
        <f>IF(VLOOKUP($B74,X_Assumptions,3,FALSE)=1,SUM(VLOOKUP($B74,X_AssumptionsInc,3,FALSE)*VLOOKUP("Total Enrollment",X_Enrollment,2,FALSE)),
IF(VLOOKUP($B74,X_Assumptions,3,FALSE)=2,SUM(VLOOKUP($B74,X_AssumptionsInc,3,FALSE)*X_Staffing_YR1_FTE),VLOOKUP($B74,X_AssumptionsInc,3,FALSE)))</f>
        <v>0</v>
      </c>
      <c r="E74" s="84">
        <f>IF(VLOOKUP($B74,X_Assumptions,3,FALSE)=1,SUM(VLOOKUP($B74,X_AssumptionsInc,4,FALSE)*VLOOKUP("Total Enrollment",X_Enrollment,3,FALSE)),
IF(VLOOKUP($B74,X_Assumptions,3,FALSE)=2,SUM(VLOOKUP($B74,X_AssumptionsInc,4,FALSE)*X_Staffing_YR2_FTE),VLOOKUP($B74,X_AssumptionsInc,4,FALSE)))</f>
        <v>0</v>
      </c>
      <c r="F74" s="84">
        <f>IF(VLOOKUP($B74,X_Assumptions,3,FALSE)=1,SUM(VLOOKUP($B74,X_AssumptionsInc,5,FALSE)*VLOOKUP("Total Enrollment",X_Enrollment,4,FALSE)),
IF(VLOOKUP($B74,X_Assumptions,3,FALSE)=2,SUM(VLOOKUP($B74,X_AssumptionsInc,5,FALSE)*X_Staffing_YR3_FTE),VLOOKUP($B74,X_AssumptionsInc,5,FALSE)))</f>
        <v>0</v>
      </c>
      <c r="G74" s="84">
        <f>IF(VLOOKUP($B74,X_Assumptions,3,FALSE)=1,SUM(VLOOKUP($B74,X_AssumptionsInc,6,FALSE)*VLOOKUP("Total Enrollment",X_Enrollment,5,FALSE)),
IF(VLOOKUP($B74,X_Assumptions,3,FALSE)=2,SUM(VLOOKUP($B74,X_AssumptionsInc,6,FALSE)*X_Staffing_YR4_FTE),VLOOKUP($B74,X_AssumptionsInc,6,FALSE)))</f>
        <v>0</v>
      </c>
      <c r="H74" s="84">
        <f>IF(VLOOKUP($B74,X_Assumptions,3,FALSE)=1,SUM(VLOOKUP($B74,X_AssumptionsInc,7,FALSE)*VLOOKUP("Total Enrollment",X_Enrollment,6,FALSE)),
IF(VLOOKUP($B74,X_Assumptions,3,FALSE)=2,SUM(VLOOKUP($B74,X_AssumptionsInc,7,FALSE)*X_Staffing_YR5_FTE),VLOOKUP($B74,X_AssumptionsInc,7,FALSE)))</f>
        <v>0</v>
      </c>
      <c r="I74" s="82"/>
      <c r="J74" s="287"/>
      <c r="K74" s="52"/>
      <c r="L74" s="52"/>
      <c r="M74" s="52"/>
      <c r="N74" s="52"/>
      <c r="O74" s="52"/>
      <c r="P74" s="52"/>
      <c r="Q74" s="52"/>
      <c r="R74" s="52"/>
      <c r="S74" s="52"/>
    </row>
    <row r="75" spans="2:19" s="54" customFormat="1" ht="15" customHeight="1" thickBot="1">
      <c r="B75" s="81" t="str">
        <f>Assumptions!C76</f>
        <v>TOTAL OTHER SCHOOL DISTRICTS</v>
      </c>
      <c r="C75" s="52"/>
      <c r="D75" s="87">
        <f>SUM(D73:D74)</f>
        <v>0</v>
      </c>
      <c r="E75" s="87">
        <f>SUM(E73:E74)</f>
        <v>0</v>
      </c>
      <c r="F75" s="87">
        <f>SUM(F73:F74)</f>
        <v>0</v>
      </c>
      <c r="G75" s="87">
        <f>SUM(G73:G74)</f>
        <v>0</v>
      </c>
      <c r="H75" s="87">
        <f>SUM(H73:H74)</f>
        <v>0</v>
      </c>
      <c r="I75" s="82"/>
      <c r="J75" s="287"/>
      <c r="K75" s="52"/>
      <c r="L75" s="52"/>
      <c r="M75" s="52"/>
      <c r="N75" s="52"/>
      <c r="O75" s="52"/>
      <c r="P75" s="52"/>
      <c r="Q75" s="52"/>
      <c r="R75" s="52"/>
      <c r="S75" s="52"/>
    </row>
    <row r="76" spans="2:19" s="54" customFormat="1" ht="6" customHeight="1" thickTop="1">
      <c r="B76" s="83"/>
      <c r="C76" s="52"/>
      <c r="D76" s="79"/>
      <c r="E76" s="79"/>
      <c r="F76" s="79"/>
      <c r="G76" s="79"/>
      <c r="H76" s="79"/>
      <c r="I76" s="82"/>
      <c r="J76" s="287"/>
      <c r="K76" s="52"/>
      <c r="L76" s="52"/>
      <c r="M76" s="52"/>
      <c r="N76" s="52"/>
      <c r="O76" s="52"/>
      <c r="P76" s="52"/>
      <c r="Q76" s="52"/>
      <c r="R76" s="52"/>
      <c r="S76" s="52"/>
    </row>
    <row r="77" spans="2:19" s="54" customFormat="1" ht="15" customHeight="1">
      <c r="B77" s="81" t="str">
        <f>Assumptions!C78</f>
        <v>8000 - OTHER ENTITIES</v>
      </c>
      <c r="C77" s="52"/>
      <c r="D77" s="79"/>
      <c r="E77" s="79"/>
      <c r="F77" s="79"/>
      <c r="G77" s="79"/>
      <c r="H77" s="79"/>
      <c r="I77" s="82"/>
      <c r="J77" s="287"/>
      <c r="K77" s="52"/>
      <c r="L77" s="52"/>
      <c r="M77" s="52"/>
      <c r="N77" s="52"/>
      <c r="O77" s="52"/>
      <c r="P77" s="52"/>
      <c r="Q77" s="52"/>
      <c r="R77" s="52"/>
      <c r="S77" s="52"/>
    </row>
    <row r="78" spans="2:19" s="54" customFormat="1" ht="15" customHeight="1">
      <c r="B78" s="83" t="str">
        <f>Assumptions!C79</f>
        <v xml:space="preserve">8100 - Governmental Entities      </v>
      </c>
      <c r="C78" s="52"/>
      <c r="D78" s="84">
        <f>IF(VLOOKUP($B78,X_Assumptions,3,FALSE)=1,SUM(VLOOKUP($B78,X_AssumptionsInc,3,FALSE)*VLOOKUP("Total Enrollment",X_Enrollment,2,FALSE)),
IF(VLOOKUP($B78,X_Assumptions,3,FALSE)=2,SUM(VLOOKUP($B78,X_AssumptionsInc,3,FALSE)*X_Staffing_YR1_FTE),VLOOKUP($B78,X_AssumptionsInc,3,FALSE)))</f>
        <v>0</v>
      </c>
      <c r="E78" s="84">
        <f>IF(VLOOKUP($B78,X_Assumptions,3,FALSE)=1,SUM(VLOOKUP($B78,X_AssumptionsInc,4,FALSE)*VLOOKUP("Total Enrollment",X_Enrollment,3,FALSE)),
IF(VLOOKUP($B78,X_Assumptions,3,FALSE)=2,SUM(VLOOKUP($B78,X_AssumptionsInc,4,FALSE)*X_Staffing_YR2_FTE),VLOOKUP($B78,X_AssumptionsInc,4,FALSE)))</f>
        <v>0</v>
      </c>
      <c r="F78" s="84">
        <f>IF(VLOOKUP($B78,X_Assumptions,3,FALSE)=1,SUM(VLOOKUP($B78,X_AssumptionsInc,5,FALSE)*VLOOKUP("Total Enrollment",X_Enrollment,4,FALSE)),
IF(VLOOKUP($B78,X_Assumptions,3,FALSE)=2,SUM(VLOOKUP($B78,X_AssumptionsInc,5,FALSE)*X_Staffing_YR3_FTE),VLOOKUP($B78,X_AssumptionsInc,5,FALSE)))</f>
        <v>0</v>
      </c>
      <c r="G78" s="84">
        <f>IF(VLOOKUP($B78,X_Assumptions,3,FALSE)=1,SUM(VLOOKUP($B78,X_AssumptionsInc,6,FALSE)*VLOOKUP("Total Enrollment",X_Enrollment,5,FALSE)),
IF(VLOOKUP($B78,X_Assumptions,3,FALSE)=2,SUM(VLOOKUP($B78,X_AssumptionsInc,6,FALSE)*X_Staffing_YR4_FTE),VLOOKUP($B78,X_AssumptionsInc,6,FALSE)))</f>
        <v>0</v>
      </c>
      <c r="H78" s="84">
        <f>IF(VLOOKUP($B78,X_Assumptions,3,FALSE)=1,SUM(VLOOKUP($B78,X_AssumptionsInc,7,FALSE)*VLOOKUP("Total Enrollment",X_Enrollment,6,FALSE)),
IF(VLOOKUP($B78,X_Assumptions,3,FALSE)=2,SUM(VLOOKUP($B78,X_AssumptionsInc,7,FALSE)*X_Staffing_YR5_FTE),VLOOKUP($B78,X_AssumptionsInc,7,FALSE)))</f>
        <v>0</v>
      </c>
      <c r="I78" s="82"/>
      <c r="J78" s="287"/>
      <c r="K78" s="52"/>
      <c r="L78" s="52"/>
      <c r="M78" s="52"/>
      <c r="N78" s="52"/>
      <c r="O78" s="52"/>
      <c r="P78" s="52"/>
      <c r="Q78" s="52"/>
      <c r="R78" s="52"/>
      <c r="S78" s="52"/>
    </row>
    <row r="79" spans="2:19" s="54" customFormat="1" ht="15" customHeight="1">
      <c r="B79" s="83" t="str">
        <f>Assumptions!C80</f>
        <v xml:space="preserve">8200 - Private Foundations  </v>
      </c>
      <c r="C79" s="52"/>
      <c r="D79" s="84">
        <f>IF(VLOOKUP($B79,X_Assumptions,3,FALSE)=1,SUM(VLOOKUP($B79,X_AssumptionsInc,3,FALSE)*VLOOKUP("Total Enrollment",X_Enrollment,2,FALSE)),
IF(VLOOKUP($B79,X_Assumptions,3,FALSE)=2,SUM(VLOOKUP($B79,X_AssumptionsInc,3,FALSE)*X_Staffing_YR1_FTE),VLOOKUP($B79,X_AssumptionsInc,3,FALSE)))</f>
        <v>0</v>
      </c>
      <c r="E79" s="84">
        <f>IF(VLOOKUP($B79,X_Assumptions,3,FALSE)=1,SUM(VLOOKUP($B79,X_AssumptionsInc,4,FALSE)*VLOOKUP("Total Enrollment",X_Enrollment,3,FALSE)),
IF(VLOOKUP($B79,X_Assumptions,3,FALSE)=2,SUM(VLOOKUP($B79,X_AssumptionsInc,4,FALSE)*X_Staffing_YR2_FTE),VLOOKUP($B79,X_AssumptionsInc,4,FALSE)))</f>
        <v>0</v>
      </c>
      <c r="F79" s="84">
        <f>IF(VLOOKUP($B79,X_Assumptions,3,FALSE)=1,SUM(VLOOKUP($B79,X_AssumptionsInc,5,FALSE)*VLOOKUP("Total Enrollment",X_Enrollment,4,FALSE)),
IF(VLOOKUP($B79,X_Assumptions,3,FALSE)=2,SUM(VLOOKUP($B79,X_AssumptionsInc,5,FALSE)*X_Staffing_YR3_FTE),VLOOKUP($B79,X_AssumptionsInc,5,FALSE)))</f>
        <v>0</v>
      </c>
      <c r="G79" s="84">
        <f>IF(VLOOKUP($B79,X_Assumptions,3,FALSE)=1,SUM(VLOOKUP($B79,X_AssumptionsInc,6,FALSE)*VLOOKUP("Total Enrollment",X_Enrollment,5,FALSE)),
IF(VLOOKUP($B79,X_Assumptions,3,FALSE)=2,SUM(VLOOKUP($B79,X_AssumptionsInc,6,FALSE)*X_Staffing_YR4_FTE),VLOOKUP($B79,X_AssumptionsInc,6,FALSE)))</f>
        <v>0</v>
      </c>
      <c r="H79" s="84">
        <f>IF(VLOOKUP($B79,X_Assumptions,3,FALSE)=1,SUM(VLOOKUP($B79,X_AssumptionsInc,7,FALSE)*VLOOKUP("Total Enrollment",X_Enrollment,6,FALSE)),
IF(VLOOKUP($B79,X_Assumptions,3,FALSE)=2,SUM(VLOOKUP($B79,X_AssumptionsInc,7,FALSE)*X_Staffing_YR5_FTE),VLOOKUP($B79,X_AssumptionsInc,7,FALSE)))</f>
        <v>0</v>
      </c>
      <c r="I79" s="82"/>
      <c r="J79" s="287"/>
      <c r="K79" s="52"/>
      <c r="L79" s="52"/>
      <c r="M79" s="52"/>
      <c r="N79" s="52"/>
      <c r="O79" s="52"/>
      <c r="P79" s="52"/>
      <c r="Q79" s="52"/>
      <c r="R79" s="52"/>
      <c r="S79" s="52"/>
    </row>
    <row r="80" spans="2:19" s="54" customFormat="1" ht="15" customHeight="1">
      <c r="B80" s="83" t="str">
        <f>Assumptions!C81</f>
        <v xml:space="preserve">8500 - Educational Service Districts   </v>
      </c>
      <c r="C80" s="52"/>
      <c r="D80" s="84">
        <f>IF(VLOOKUP($B80,X_Assumptions,3,FALSE)=1,SUM(VLOOKUP($B80,X_AssumptionsInc,3,FALSE)*VLOOKUP("Total Enrollment",X_Enrollment,2,FALSE)),
IF(VLOOKUP($B80,X_Assumptions,3,FALSE)=2,SUM(VLOOKUP($B80,X_AssumptionsInc,3,FALSE)*X_Staffing_YR1_FTE),VLOOKUP($B80,X_AssumptionsInc,3,FALSE)))</f>
        <v>0</v>
      </c>
      <c r="E80" s="84">
        <f>IF(VLOOKUP($B80,X_Assumptions,3,FALSE)=1,SUM(VLOOKUP($B80,X_AssumptionsInc,4,FALSE)*VLOOKUP("Total Enrollment",X_Enrollment,3,FALSE)),
IF(VLOOKUP($B80,X_Assumptions,3,FALSE)=2,SUM(VLOOKUP($B80,X_AssumptionsInc,4,FALSE)*X_Staffing_YR2_FTE),VLOOKUP($B80,X_AssumptionsInc,4,FALSE)))</f>
        <v>0</v>
      </c>
      <c r="F80" s="84">
        <f>IF(VLOOKUP($B80,X_Assumptions,3,FALSE)=1,SUM(VLOOKUP($B80,X_AssumptionsInc,5,FALSE)*VLOOKUP("Total Enrollment",X_Enrollment,4,FALSE)),
IF(VLOOKUP($B80,X_Assumptions,3,FALSE)=2,SUM(VLOOKUP($B80,X_AssumptionsInc,5,FALSE)*X_Staffing_YR3_FTE),VLOOKUP($B80,X_AssumptionsInc,5,FALSE)))</f>
        <v>0</v>
      </c>
      <c r="G80" s="84">
        <f>IF(VLOOKUP($B80,X_Assumptions,3,FALSE)=1,SUM(VLOOKUP($B80,X_AssumptionsInc,6,FALSE)*VLOOKUP("Total Enrollment",X_Enrollment,5,FALSE)),
IF(VLOOKUP($B80,X_Assumptions,3,FALSE)=2,SUM(VLOOKUP($B80,X_AssumptionsInc,6,FALSE)*X_Staffing_YR4_FTE),VLOOKUP($B80,X_AssumptionsInc,6,FALSE)))</f>
        <v>0</v>
      </c>
      <c r="H80" s="84">
        <f>IF(VLOOKUP($B80,X_Assumptions,3,FALSE)=1,SUM(VLOOKUP($B80,X_AssumptionsInc,7,FALSE)*VLOOKUP("Total Enrollment",X_Enrollment,6,FALSE)),
IF(VLOOKUP($B80,X_Assumptions,3,FALSE)=2,SUM(VLOOKUP($B80,X_AssumptionsInc,7,FALSE)*X_Staffing_YR5_FTE),VLOOKUP($B80,X_AssumptionsInc,7,FALSE)))</f>
        <v>0</v>
      </c>
      <c r="I80" s="82"/>
      <c r="J80" s="287"/>
      <c r="K80" s="52"/>
      <c r="L80" s="52"/>
      <c r="M80" s="52"/>
      <c r="N80" s="52"/>
      <c r="O80" s="52"/>
      <c r="P80" s="52"/>
      <c r="Q80" s="52"/>
      <c r="R80" s="52"/>
      <c r="S80" s="52"/>
    </row>
    <row r="81" spans="2:19" s="54" customFormat="1" ht="15" customHeight="1">
      <c r="B81" s="83" t="str">
        <f>Assumptions!C82</f>
        <v>Custom OTHER ENTITIES</v>
      </c>
      <c r="C81" s="52"/>
      <c r="D81" s="84">
        <f>IF(VLOOKUP($B81,X_Assumptions,3,FALSE)=1,SUM(VLOOKUP($B81,X_AssumptionsInc,3,FALSE)*VLOOKUP("Total Enrollment",X_Enrollment,2,FALSE)),
IF(VLOOKUP($B81,X_Assumptions,3,FALSE)=2,SUM(VLOOKUP($B81,X_AssumptionsInc,3,FALSE)*X_Staffing_YR1_FTE),VLOOKUP($B81,X_AssumptionsInc,3,FALSE)))</f>
        <v>0</v>
      </c>
      <c r="E81" s="84">
        <f>IF(VLOOKUP($B81,X_Assumptions,3,FALSE)=1,SUM(VLOOKUP($B81,X_AssumptionsInc,4,FALSE)*VLOOKUP("Total Enrollment",X_Enrollment,3,FALSE)),
IF(VLOOKUP($B81,X_Assumptions,3,FALSE)=2,SUM(VLOOKUP($B81,X_AssumptionsInc,4,FALSE)*X_Staffing_YR2_FTE),VLOOKUP($B81,X_AssumptionsInc,4,FALSE)))</f>
        <v>0</v>
      </c>
      <c r="F81" s="84">
        <f>IF(VLOOKUP($B81,X_Assumptions,3,FALSE)=1,SUM(VLOOKUP($B81,X_AssumptionsInc,5,FALSE)*VLOOKUP("Total Enrollment",X_Enrollment,4,FALSE)),
IF(VLOOKUP($B81,X_Assumptions,3,FALSE)=2,SUM(VLOOKUP($B81,X_AssumptionsInc,5,FALSE)*X_Staffing_YR3_FTE),VLOOKUP($B81,X_AssumptionsInc,5,FALSE)))</f>
        <v>0</v>
      </c>
      <c r="G81" s="84">
        <f>IF(VLOOKUP($B81,X_Assumptions,3,FALSE)=1,SUM(VLOOKUP($B81,X_AssumptionsInc,6,FALSE)*VLOOKUP("Total Enrollment",X_Enrollment,5,FALSE)),
IF(VLOOKUP($B81,X_Assumptions,3,FALSE)=2,SUM(VLOOKUP($B81,X_AssumptionsInc,6,FALSE)*X_Staffing_YR4_FTE),VLOOKUP($B81,X_AssumptionsInc,6,FALSE)))</f>
        <v>0</v>
      </c>
      <c r="H81" s="84">
        <f>IF(VLOOKUP($B81,X_Assumptions,3,FALSE)=1,SUM(VLOOKUP($B81,X_AssumptionsInc,7,FALSE)*VLOOKUP("Total Enrollment",X_Enrollment,6,FALSE)),
IF(VLOOKUP($B81,X_Assumptions,3,FALSE)=2,SUM(VLOOKUP($B81,X_AssumptionsInc,7,FALSE)*X_Staffing_YR5_FTE),VLOOKUP($B81,X_AssumptionsInc,7,FALSE)))</f>
        <v>0</v>
      </c>
      <c r="I81" s="82"/>
      <c r="J81" s="287"/>
      <c r="K81" s="52"/>
      <c r="L81" s="52"/>
      <c r="M81" s="52"/>
      <c r="N81" s="52"/>
      <c r="O81" s="52"/>
      <c r="P81" s="52"/>
      <c r="Q81" s="52"/>
      <c r="R81" s="52"/>
      <c r="S81" s="52"/>
    </row>
    <row r="82" spans="2:19" s="54" customFormat="1" ht="15" customHeight="1" thickBot="1">
      <c r="B82" s="81" t="str">
        <f>Assumptions!C83</f>
        <v>TOTAL OTHER ENTITIES</v>
      </c>
      <c r="C82" s="52"/>
      <c r="D82" s="87">
        <f>SUM(D78:D81)</f>
        <v>0</v>
      </c>
      <c r="E82" s="87">
        <f>SUM(E78:E81)</f>
        <v>0</v>
      </c>
      <c r="F82" s="87">
        <f>SUM(F78:F81)</f>
        <v>0</v>
      </c>
      <c r="G82" s="87">
        <f>SUM(G78:G81)</f>
        <v>0</v>
      </c>
      <c r="H82" s="87">
        <f>SUM(H78:H81)</f>
        <v>0</v>
      </c>
      <c r="I82" s="82"/>
      <c r="J82" s="287"/>
      <c r="K82" s="52"/>
      <c r="L82" s="52"/>
      <c r="M82" s="52"/>
      <c r="N82" s="52"/>
      <c r="O82" s="52"/>
      <c r="P82" s="52"/>
      <c r="Q82" s="52"/>
      <c r="R82" s="52"/>
      <c r="S82" s="52"/>
    </row>
    <row r="83" spans="2:19" s="54" customFormat="1" ht="6" customHeight="1" thickTop="1">
      <c r="B83" s="83"/>
      <c r="C83" s="52"/>
      <c r="D83" s="79"/>
      <c r="E83" s="79"/>
      <c r="F83" s="79"/>
      <c r="G83" s="79"/>
      <c r="H83" s="79"/>
      <c r="I83" s="82"/>
      <c r="J83" s="287"/>
      <c r="K83" s="52"/>
      <c r="L83" s="52"/>
      <c r="M83" s="52"/>
      <c r="N83" s="52"/>
      <c r="O83" s="52"/>
      <c r="P83" s="52"/>
      <c r="Q83" s="52"/>
      <c r="R83" s="52"/>
      <c r="S83" s="52"/>
    </row>
    <row r="84" spans="2:19" s="54" customFormat="1" ht="15" customHeight="1">
      <c r="B84" s="81" t="str">
        <f>Assumptions!C85</f>
        <v>9000 - OTHER FINANCING SOURCES</v>
      </c>
      <c r="C84" s="52"/>
      <c r="D84" s="79"/>
      <c r="E84" s="79"/>
      <c r="F84" s="79"/>
      <c r="G84" s="79"/>
      <c r="H84" s="79"/>
      <c r="I84" s="82"/>
      <c r="J84" s="287"/>
      <c r="K84" s="52"/>
      <c r="L84" s="52"/>
      <c r="M84" s="52"/>
      <c r="N84" s="52"/>
      <c r="O84" s="52"/>
      <c r="P84" s="52"/>
      <c r="Q84" s="52"/>
      <c r="R84" s="52"/>
      <c r="S84" s="52"/>
    </row>
    <row r="85" spans="2:19" s="54" customFormat="1" ht="15" customHeight="1">
      <c r="B85" s="83" t="str">
        <f>Assumptions!C86</f>
        <v xml:space="preserve">9500 - Long-Term Financing      </v>
      </c>
      <c r="C85" s="52"/>
      <c r="D85" s="84">
        <f>IF(VLOOKUP($B85,X_Assumptions,3,FALSE)=1,SUM(VLOOKUP($B85,X_AssumptionsInc,3,FALSE)*VLOOKUP("Total Enrollment",X_Enrollment,2,FALSE)),
IF(VLOOKUP($B85,X_Assumptions,3,FALSE)=2,SUM(VLOOKUP($B85,X_AssumptionsInc,3,FALSE)*X_Staffing_YR1_FTE),VLOOKUP($B85,X_AssumptionsInc,3,FALSE)))</f>
        <v>0</v>
      </c>
      <c r="E85" s="84">
        <f>IF(VLOOKUP($B85,X_Assumptions,3,FALSE)=1,SUM(VLOOKUP($B85,X_AssumptionsInc,4,FALSE)*VLOOKUP("Total Enrollment",X_Enrollment,3,FALSE)),
IF(VLOOKUP($B85,X_Assumptions,3,FALSE)=2,SUM(VLOOKUP($B85,X_AssumptionsInc,4,FALSE)*X_Staffing_YR2_FTE),VLOOKUP($B85,X_AssumptionsInc,4,FALSE)))</f>
        <v>0</v>
      </c>
      <c r="F85" s="84">
        <f>IF(VLOOKUP($B85,X_Assumptions,3,FALSE)=1,SUM(VLOOKUP($B85,X_AssumptionsInc,5,FALSE)*VLOOKUP("Total Enrollment",X_Enrollment,4,FALSE)),
IF(VLOOKUP($B85,X_Assumptions,3,FALSE)=2,SUM(VLOOKUP($B85,X_AssumptionsInc,5,FALSE)*X_Staffing_YR3_FTE),VLOOKUP($B85,X_AssumptionsInc,5,FALSE)))</f>
        <v>0</v>
      </c>
      <c r="G85" s="84">
        <f>IF(VLOOKUP($B85,X_Assumptions,3,FALSE)=1,SUM(VLOOKUP($B85,X_AssumptionsInc,6,FALSE)*VLOOKUP("Total Enrollment",X_Enrollment,5,FALSE)),
IF(VLOOKUP($B85,X_Assumptions,3,FALSE)=2,SUM(VLOOKUP($B85,X_AssumptionsInc,6,FALSE)*X_Staffing_YR4_FTE),VLOOKUP($B85,X_AssumptionsInc,6,FALSE)))</f>
        <v>0</v>
      </c>
      <c r="H85" s="84">
        <f>IF(VLOOKUP($B85,X_Assumptions,3,FALSE)=1,SUM(VLOOKUP($B85,X_AssumptionsInc,7,FALSE)*VLOOKUP("Total Enrollment",X_Enrollment,6,FALSE)),
IF(VLOOKUP($B85,X_Assumptions,3,FALSE)=2,SUM(VLOOKUP($B85,X_AssumptionsInc,7,FALSE)*X_Staffing_YR5_FTE),VLOOKUP($B85,X_AssumptionsInc,7,FALSE)))</f>
        <v>0</v>
      </c>
      <c r="I85" s="82"/>
      <c r="J85" s="287"/>
      <c r="K85" s="52"/>
      <c r="L85" s="52"/>
      <c r="M85" s="52"/>
      <c r="N85" s="52"/>
      <c r="O85" s="52"/>
      <c r="P85" s="52"/>
      <c r="Q85" s="52"/>
      <c r="R85" s="52"/>
      <c r="S85" s="52"/>
    </row>
    <row r="86" spans="2:19" s="54" customFormat="1" ht="15" customHeight="1">
      <c r="B86" s="83" t="str">
        <f>Assumptions!C87</f>
        <v>9900 - Transfers</v>
      </c>
      <c r="C86" s="52"/>
      <c r="D86" s="84">
        <f>IF(VLOOKUP($B86,X_Assumptions,3,FALSE)=1,SUM(VLOOKUP($B86,X_AssumptionsInc,3,FALSE)*VLOOKUP("Total Enrollment",X_Enrollment,2,FALSE)),
IF(VLOOKUP($B86,X_Assumptions,3,FALSE)=2,SUM(VLOOKUP($B86,X_AssumptionsInc,3,FALSE)*X_Staffing_YR1_FTE),VLOOKUP($B86,X_AssumptionsInc,3,FALSE)))</f>
        <v>0</v>
      </c>
      <c r="E86" s="84">
        <f>IF(VLOOKUP($B86,X_Assumptions,3,FALSE)=1,SUM(VLOOKUP($B86,X_AssumptionsInc,4,FALSE)*VLOOKUP("Total Enrollment",X_Enrollment,3,FALSE)),
IF(VLOOKUP($B86,X_Assumptions,3,FALSE)=2,SUM(VLOOKUP($B86,X_AssumptionsInc,4,FALSE)*X_Staffing_YR2_FTE),VLOOKUP($B86,X_AssumptionsInc,4,FALSE)))</f>
        <v>0</v>
      </c>
      <c r="F86" s="84">
        <f>IF(VLOOKUP($B86,X_Assumptions,3,FALSE)=1,SUM(VLOOKUP($B86,X_AssumptionsInc,5,FALSE)*VLOOKUP("Total Enrollment",X_Enrollment,4,FALSE)),
IF(VLOOKUP($B86,X_Assumptions,3,FALSE)=2,SUM(VLOOKUP($B86,X_AssumptionsInc,5,FALSE)*X_Staffing_YR3_FTE),VLOOKUP($B86,X_AssumptionsInc,5,FALSE)))</f>
        <v>0</v>
      </c>
      <c r="G86" s="84">
        <f>IF(VLOOKUP($B86,X_Assumptions,3,FALSE)=1,SUM(VLOOKUP($B86,X_AssumptionsInc,6,FALSE)*VLOOKUP("Total Enrollment",X_Enrollment,5,FALSE)),
IF(VLOOKUP($B86,X_Assumptions,3,FALSE)=2,SUM(VLOOKUP($B86,X_AssumptionsInc,6,FALSE)*X_Staffing_YR4_FTE),VLOOKUP($B86,X_AssumptionsInc,6,FALSE)))</f>
        <v>0</v>
      </c>
      <c r="H86" s="84">
        <f>IF(VLOOKUP($B86,X_Assumptions,3,FALSE)=1,SUM(VLOOKUP($B86,X_AssumptionsInc,7,FALSE)*VLOOKUP("Total Enrollment",X_Enrollment,6,FALSE)),
IF(VLOOKUP($B86,X_Assumptions,3,FALSE)=2,SUM(VLOOKUP($B86,X_AssumptionsInc,7,FALSE)*X_Staffing_YR5_FTE),VLOOKUP($B86,X_AssumptionsInc,7,FALSE)))</f>
        <v>0</v>
      </c>
      <c r="I86" s="82"/>
      <c r="J86" s="287"/>
      <c r="K86" s="52"/>
      <c r="L86" s="52"/>
      <c r="M86" s="52"/>
      <c r="N86" s="52"/>
      <c r="O86" s="52"/>
      <c r="P86" s="52"/>
      <c r="Q86" s="52"/>
      <c r="R86" s="52"/>
      <c r="S86" s="52"/>
    </row>
    <row r="87" spans="2:19" s="54" customFormat="1" ht="15" customHeight="1">
      <c r="B87" s="83" t="str">
        <f>Assumptions!C88</f>
        <v>Custom OTHER FINANCING SOURCES</v>
      </c>
      <c r="C87" s="52"/>
      <c r="D87" s="84">
        <f>IF(VLOOKUP($B87,X_Assumptions,3,FALSE)=1,SUM(VLOOKUP($B87,X_AssumptionsInc,3,FALSE)*VLOOKUP("Total Enrollment",X_Enrollment,2,FALSE)),
IF(VLOOKUP($B87,X_Assumptions,3,FALSE)=2,SUM(VLOOKUP($B87,X_AssumptionsInc,3,FALSE)*X_Staffing_YR1_FTE),VLOOKUP($B87,X_AssumptionsInc,3,FALSE)))</f>
        <v>0</v>
      </c>
      <c r="E87" s="84">
        <f>IF(VLOOKUP($B87,X_Assumptions,3,FALSE)=1,SUM(VLOOKUP($B87,X_AssumptionsInc,4,FALSE)*VLOOKUP("Total Enrollment",X_Enrollment,3,FALSE)),
IF(VLOOKUP($B87,X_Assumptions,3,FALSE)=2,SUM(VLOOKUP($B87,X_AssumptionsInc,4,FALSE)*X_Staffing_YR2_FTE),VLOOKUP($B87,X_AssumptionsInc,4,FALSE)))</f>
        <v>0</v>
      </c>
      <c r="F87" s="84">
        <f>IF(VLOOKUP($B87,X_Assumptions,3,FALSE)=1,SUM(VLOOKUP($B87,X_AssumptionsInc,5,FALSE)*VLOOKUP("Total Enrollment",X_Enrollment,4,FALSE)),
IF(VLOOKUP($B87,X_Assumptions,3,FALSE)=2,SUM(VLOOKUP($B87,X_AssumptionsInc,5,FALSE)*X_Staffing_YR3_FTE),VLOOKUP($B87,X_AssumptionsInc,5,FALSE)))</f>
        <v>0</v>
      </c>
      <c r="G87" s="84">
        <f>IF(VLOOKUP($B87,X_Assumptions,3,FALSE)=1,SUM(VLOOKUP($B87,X_AssumptionsInc,6,FALSE)*VLOOKUP("Total Enrollment",X_Enrollment,5,FALSE)),
IF(VLOOKUP($B87,X_Assumptions,3,FALSE)=2,SUM(VLOOKUP($B87,X_AssumptionsInc,6,FALSE)*X_Staffing_YR4_FTE),VLOOKUP($B87,X_AssumptionsInc,6,FALSE)))</f>
        <v>0</v>
      </c>
      <c r="H87" s="84">
        <f>IF(VLOOKUP($B87,X_Assumptions,3,FALSE)=1,SUM(VLOOKUP($B87,X_AssumptionsInc,7,FALSE)*VLOOKUP("Total Enrollment",X_Enrollment,6,FALSE)),
IF(VLOOKUP($B87,X_Assumptions,3,FALSE)=2,SUM(VLOOKUP($B87,X_AssumptionsInc,7,FALSE)*X_Staffing_YR5_FTE),VLOOKUP($B87,X_AssumptionsInc,7,FALSE)))</f>
        <v>0</v>
      </c>
      <c r="I87" s="82"/>
      <c r="J87" s="287"/>
      <c r="K87" s="52"/>
      <c r="L87" s="52"/>
      <c r="M87" s="52"/>
      <c r="N87" s="52"/>
      <c r="O87" s="52"/>
      <c r="P87" s="52"/>
      <c r="Q87" s="52"/>
      <c r="R87" s="52"/>
      <c r="S87" s="52"/>
    </row>
    <row r="88" spans="2:19" s="54" customFormat="1" ht="15" customHeight="1" thickBot="1">
      <c r="B88" s="81" t="str">
        <f>Assumptions!C89</f>
        <v>TOTAL OTHER FINANCING SOURCES</v>
      </c>
      <c r="C88" s="52"/>
      <c r="D88" s="307">
        <f>SUM(D85:D87)</f>
        <v>0</v>
      </c>
      <c r="E88" s="307">
        <f>SUM(E85:E87)</f>
        <v>0</v>
      </c>
      <c r="F88" s="307">
        <f>SUM(F85:F87)</f>
        <v>0</v>
      </c>
      <c r="G88" s="307">
        <f>SUM(G85:G87)</f>
        <v>0</v>
      </c>
      <c r="H88" s="307">
        <f>SUM(H85:H87)</f>
        <v>0</v>
      </c>
      <c r="I88" s="82"/>
      <c r="J88" s="287"/>
      <c r="K88" s="52"/>
      <c r="L88" s="52"/>
      <c r="M88" s="52"/>
      <c r="N88" s="52"/>
      <c r="O88" s="52"/>
      <c r="P88" s="52"/>
      <c r="Q88" s="52"/>
      <c r="R88" s="52"/>
      <c r="S88" s="52"/>
    </row>
    <row r="89" spans="2:19" s="54" customFormat="1" ht="6" customHeight="1" thickTop="1">
      <c r="B89" s="81"/>
      <c r="C89" s="53"/>
      <c r="D89" s="311"/>
      <c r="E89" s="311"/>
      <c r="F89" s="311"/>
      <c r="G89" s="311"/>
      <c r="H89" s="311"/>
      <c r="I89" s="80"/>
      <c r="J89" s="287"/>
      <c r="K89" s="52"/>
      <c r="L89" s="52"/>
      <c r="M89" s="52"/>
      <c r="N89" s="52"/>
      <c r="O89" s="52"/>
      <c r="P89" s="52"/>
      <c r="Q89" s="52"/>
      <c r="R89" s="52"/>
      <c r="S89" s="52"/>
    </row>
    <row r="90" spans="2:19" s="54" customFormat="1" ht="15" customHeight="1" thickBot="1">
      <c r="B90" s="326" t="str">
        <f>Assumptions!C91</f>
        <v>TOTAL REVENUE</v>
      </c>
      <c r="C90" s="53"/>
      <c r="D90" s="335">
        <f>SUM(D23,D29,D35,D45,D56,D70,D75,D82,D88)</f>
        <v>0</v>
      </c>
      <c r="E90" s="335">
        <f>SUM(E23,E29,E35,E45,E56,E70,E75,E82,E88)</f>
        <v>0</v>
      </c>
      <c r="F90" s="335">
        <f>SUM(F23,F29,F35,F45,F56,F70,F75,F82,F88)</f>
        <v>0</v>
      </c>
      <c r="G90" s="335">
        <f>SUM(G23,G29,G35,G45,G56,G70,G75,G82,G88)</f>
        <v>0</v>
      </c>
      <c r="H90" s="335">
        <f>SUM(H23,H29,H35,H45,H56,H70,H75,H82,H88)</f>
        <v>0</v>
      </c>
      <c r="I90" s="80"/>
      <c r="J90" s="287"/>
      <c r="K90" s="52"/>
      <c r="L90" s="52"/>
      <c r="M90" s="52"/>
      <c r="N90" s="52"/>
      <c r="O90" s="52"/>
      <c r="P90" s="52"/>
      <c r="Q90" s="52"/>
      <c r="R90" s="52"/>
      <c r="S90" s="52"/>
    </row>
    <row r="91" spans="2:19" s="54" customFormat="1" ht="15" customHeight="1" thickTop="1">
      <c r="B91" s="92"/>
      <c r="C91" s="53"/>
      <c r="D91" s="309"/>
      <c r="E91" s="309"/>
      <c r="F91" s="309"/>
      <c r="G91" s="309"/>
      <c r="H91" s="309"/>
      <c r="I91" s="80"/>
      <c r="J91" s="287"/>
      <c r="K91" s="52"/>
      <c r="L91" s="52"/>
      <c r="M91" s="52"/>
      <c r="N91" s="52"/>
      <c r="O91" s="52"/>
      <c r="P91" s="52"/>
      <c r="Q91" s="52"/>
      <c r="R91" s="52"/>
      <c r="S91" s="52"/>
    </row>
    <row r="92" spans="2:19" s="54" customFormat="1" ht="15" customHeight="1">
      <c r="B92" s="348" t="str">
        <f>Assumptions!C93</f>
        <v>EXPENSES</v>
      </c>
      <c r="C92" s="53"/>
      <c r="D92" s="309"/>
      <c r="E92" s="309"/>
      <c r="F92" s="309"/>
      <c r="G92" s="309"/>
      <c r="H92" s="309"/>
      <c r="I92" s="80"/>
      <c r="J92" s="287"/>
      <c r="K92" s="52"/>
      <c r="L92" s="52"/>
      <c r="M92" s="52"/>
      <c r="N92" s="52"/>
      <c r="O92" s="52"/>
      <c r="P92" s="52"/>
      <c r="Q92" s="52"/>
      <c r="R92" s="52"/>
      <c r="S92" s="52"/>
    </row>
    <row r="93" spans="2:19" s="54" customFormat="1" ht="15" customHeight="1">
      <c r="B93" s="81" t="str">
        <f>Assumptions!C94</f>
        <v>ADMINISTRATIVE STAFF PERSONNEL COSTS</v>
      </c>
      <c r="C93" s="53"/>
      <c r="D93" s="309"/>
      <c r="E93" s="309"/>
      <c r="F93" s="309"/>
      <c r="G93" s="309"/>
      <c r="H93" s="309"/>
      <c r="I93" s="80"/>
      <c r="J93" s="287"/>
      <c r="K93" s="52"/>
      <c r="L93" s="52"/>
      <c r="M93" s="52"/>
      <c r="N93" s="52"/>
      <c r="O93" s="52"/>
      <c r="P93" s="52"/>
      <c r="Q93" s="52"/>
      <c r="R93" s="52"/>
      <c r="S93" s="52"/>
    </row>
    <row r="94" spans="2:19" s="54" customFormat="1" ht="15" customHeight="1">
      <c r="B94" s="94" t="str">
        <f>Assumptions!C95</f>
        <v>Executive Management</v>
      </c>
      <c r="C94" s="53"/>
      <c r="D94" s="310">
        <f>SUMIF(Personnel!$D:$D,'5 YR Budget'!$B94,Personnel!$N:$N)</f>
        <v>0</v>
      </c>
      <c r="E94" s="310">
        <f>SUMIF(Personnel!$D:$D,'5 YR Budget'!$B94,Personnel!$O:$O)</f>
        <v>0</v>
      </c>
      <c r="F94" s="310">
        <f>SUMIF(Personnel!$D:$D,'5 YR Budget'!$B94,Personnel!$P:$P)</f>
        <v>0</v>
      </c>
      <c r="G94" s="310">
        <f>SUMIF(Personnel!$D:$D,'5 YR Budget'!$B94,Personnel!$Q:$Q)</f>
        <v>0</v>
      </c>
      <c r="H94" s="310">
        <f>SUMIF(Personnel!$D:$D,'5 YR Budget'!$B94,Personnel!$R:$R)</f>
        <v>0</v>
      </c>
      <c r="I94" s="80"/>
      <c r="J94" s="287"/>
      <c r="K94" s="52"/>
      <c r="L94" s="52"/>
      <c r="M94" s="52"/>
      <c r="N94" s="52"/>
      <c r="O94" s="52"/>
      <c r="P94" s="52"/>
      <c r="Q94" s="52"/>
      <c r="R94" s="52"/>
      <c r="S94" s="52"/>
    </row>
    <row r="95" spans="2:19" s="54" customFormat="1" ht="15" customHeight="1">
      <c r="B95" s="94" t="str">
        <f>Assumptions!C96</f>
        <v>Instructional Management</v>
      </c>
      <c r="C95" s="53"/>
      <c r="D95" s="310">
        <f>SUMIF(Personnel!$D:$D,'5 YR Budget'!$B95,Personnel!$N:$N)</f>
        <v>0</v>
      </c>
      <c r="E95" s="310">
        <f>SUMIF(Personnel!$D:$D,'5 YR Budget'!$B95,Personnel!$O:$O)</f>
        <v>0</v>
      </c>
      <c r="F95" s="310">
        <f>SUMIF(Personnel!$D:$D,'5 YR Budget'!$B95,Personnel!$P:$P)</f>
        <v>0</v>
      </c>
      <c r="G95" s="310">
        <f>SUMIF(Personnel!$D:$D,'5 YR Budget'!$B95,Personnel!$Q:$Q)</f>
        <v>0</v>
      </c>
      <c r="H95" s="310">
        <f>SUMIF(Personnel!$D:$D,'5 YR Budget'!$B95,Personnel!$R:$R)</f>
        <v>0</v>
      </c>
      <c r="I95" s="80"/>
      <c r="J95" s="287"/>
      <c r="K95" s="52"/>
      <c r="L95" s="52"/>
      <c r="M95" s="52"/>
      <c r="N95" s="52"/>
      <c r="O95" s="52"/>
      <c r="P95" s="52"/>
      <c r="Q95" s="52"/>
      <c r="R95" s="52"/>
      <c r="S95" s="52"/>
    </row>
    <row r="96" spans="2:19" s="54" customFormat="1" ht="15" customHeight="1">
      <c r="B96" s="94" t="str">
        <f>Assumptions!C97</f>
        <v>Deans, Directors &amp; Coordinators</v>
      </c>
      <c r="C96" s="53"/>
      <c r="D96" s="310">
        <f>SUMIF(Personnel!$D:$D,'5 YR Budget'!$B96,Personnel!$N:$N)</f>
        <v>0</v>
      </c>
      <c r="E96" s="310">
        <f>SUMIF(Personnel!$D:$D,'5 YR Budget'!$B96,Personnel!$O:$O)</f>
        <v>0</v>
      </c>
      <c r="F96" s="310">
        <f>SUMIF(Personnel!$D:$D,'5 YR Budget'!$B96,Personnel!$P:$P)</f>
        <v>0</v>
      </c>
      <c r="G96" s="310">
        <f>SUMIF(Personnel!$D:$D,'5 YR Budget'!$B96,Personnel!$Q:$Q)</f>
        <v>0</v>
      </c>
      <c r="H96" s="310">
        <f>SUMIF(Personnel!$D:$D,'5 YR Budget'!$B96,Personnel!$R:$R)</f>
        <v>0</v>
      </c>
      <c r="I96" s="80"/>
      <c r="J96" s="287"/>
      <c r="K96" s="52"/>
      <c r="L96" s="52"/>
      <c r="M96" s="52"/>
      <c r="N96" s="52"/>
      <c r="O96" s="52"/>
      <c r="P96" s="52"/>
      <c r="Q96" s="52"/>
      <c r="R96" s="52"/>
      <c r="S96" s="52"/>
    </row>
    <row r="97" spans="2:19" s="54" customFormat="1" ht="15" customHeight="1">
      <c r="B97" s="94" t="str">
        <f>Assumptions!C98</f>
        <v>CFO / Director of Finance</v>
      </c>
      <c r="C97" s="53"/>
      <c r="D97" s="310">
        <f>SUMIF(Personnel!$D:$D,'5 YR Budget'!$B97,Personnel!$N:$N)</f>
        <v>0</v>
      </c>
      <c r="E97" s="310">
        <f>SUMIF(Personnel!$D:$D,'5 YR Budget'!$B97,Personnel!$O:$O)</f>
        <v>0</v>
      </c>
      <c r="F97" s="310">
        <f>SUMIF(Personnel!$D:$D,'5 YR Budget'!$B97,Personnel!$P:$P)</f>
        <v>0</v>
      </c>
      <c r="G97" s="310">
        <f>SUMIF(Personnel!$D:$D,'5 YR Budget'!$B97,Personnel!$Q:$Q)</f>
        <v>0</v>
      </c>
      <c r="H97" s="310">
        <f>SUMIF(Personnel!$D:$D,'5 YR Budget'!$B97,Personnel!$R:$R)</f>
        <v>0</v>
      </c>
      <c r="I97" s="80"/>
      <c r="J97" s="287"/>
      <c r="K97" s="52"/>
      <c r="L97" s="52"/>
      <c r="M97" s="52"/>
      <c r="N97" s="52"/>
      <c r="O97" s="52"/>
      <c r="P97" s="52"/>
      <c r="Q97" s="52"/>
      <c r="R97" s="52"/>
      <c r="S97" s="52"/>
    </row>
    <row r="98" spans="2:19" s="54" customFormat="1" ht="15" customHeight="1">
      <c r="B98" s="94" t="str">
        <f>Assumptions!C99</f>
        <v>Operation / Business Manager</v>
      </c>
      <c r="C98" s="53"/>
      <c r="D98" s="310">
        <f>SUMIF(Personnel!$D:$D,'5 YR Budget'!$B98,Personnel!$N:$N)</f>
        <v>0</v>
      </c>
      <c r="E98" s="310">
        <f>SUMIF(Personnel!$D:$D,'5 YR Budget'!$B98,Personnel!$O:$O)</f>
        <v>0</v>
      </c>
      <c r="F98" s="310">
        <f>SUMIF(Personnel!$D:$D,'5 YR Budget'!$B98,Personnel!$P:$P)</f>
        <v>0</v>
      </c>
      <c r="G98" s="310">
        <f>SUMIF(Personnel!$D:$D,'5 YR Budget'!$B98,Personnel!$Q:$Q)</f>
        <v>0</v>
      </c>
      <c r="H98" s="310">
        <f>SUMIF(Personnel!$D:$D,'5 YR Budget'!$B98,Personnel!$R:$R)</f>
        <v>0</v>
      </c>
      <c r="I98" s="80"/>
      <c r="J98" s="287"/>
      <c r="K98" s="52"/>
      <c r="L98" s="52"/>
      <c r="M98" s="52"/>
      <c r="N98" s="52"/>
      <c r="O98" s="52"/>
      <c r="P98" s="52"/>
      <c r="Q98" s="52"/>
      <c r="R98" s="52"/>
      <c r="S98" s="52"/>
    </row>
    <row r="99" spans="2:19" s="54" customFormat="1" ht="15" customHeight="1">
      <c r="B99" s="94" t="str">
        <f>Assumptions!C100</f>
        <v>Administrative Staff</v>
      </c>
      <c r="C99" s="53"/>
      <c r="D99" s="310">
        <f>SUMIF(Personnel!$D:$D,'5 YR Budget'!$B99,Personnel!$N:$N)</f>
        <v>0</v>
      </c>
      <c r="E99" s="310">
        <f>SUMIF(Personnel!$D:$D,'5 YR Budget'!$B99,Personnel!$O:$O)</f>
        <v>0</v>
      </c>
      <c r="F99" s="310">
        <f>SUMIF(Personnel!$D:$D,'5 YR Budget'!$B99,Personnel!$P:$P)</f>
        <v>0</v>
      </c>
      <c r="G99" s="310">
        <f>SUMIF(Personnel!$D:$D,'5 YR Budget'!$B99,Personnel!$Q:$Q)</f>
        <v>0</v>
      </c>
      <c r="H99" s="310">
        <f>SUMIF(Personnel!$D:$D,'5 YR Budget'!$B99,Personnel!$R:$R)</f>
        <v>0</v>
      </c>
      <c r="I99" s="80"/>
      <c r="J99" s="287"/>
      <c r="K99" s="52"/>
      <c r="L99" s="52"/>
      <c r="M99" s="52"/>
      <c r="N99" s="52"/>
      <c r="O99" s="52"/>
      <c r="P99" s="52"/>
      <c r="Q99" s="52"/>
      <c r="R99" s="52"/>
      <c r="S99" s="52"/>
    </row>
    <row r="100" spans="2:19" s="54" customFormat="1" ht="15" customHeight="1">
      <c r="B100" s="94" t="str">
        <f>Assumptions!C101</f>
        <v>Other - Administrative</v>
      </c>
      <c r="C100" s="53"/>
      <c r="D100" s="310">
        <f>SUMIF(Personnel!$D:$D,'5 YR Budget'!$B100,Personnel!$N:$N)</f>
        <v>0</v>
      </c>
      <c r="E100" s="310">
        <f>SUMIF(Personnel!$D:$D,'5 YR Budget'!$B100,Personnel!$O:$O)</f>
        <v>0</v>
      </c>
      <c r="F100" s="310">
        <f>SUMIF(Personnel!$D:$D,'5 YR Budget'!$B100,Personnel!$P:$P)</f>
        <v>0</v>
      </c>
      <c r="G100" s="310">
        <f>SUMIF(Personnel!$D:$D,'5 YR Budget'!$B100,Personnel!$Q:$Q)</f>
        <v>0</v>
      </c>
      <c r="H100" s="310">
        <f>SUMIF(Personnel!$D:$D,'5 YR Budget'!$B100,Personnel!$R:$R)</f>
        <v>0</v>
      </c>
      <c r="I100" s="80"/>
      <c r="J100" s="287"/>
      <c r="K100" s="52"/>
      <c r="L100" s="52"/>
      <c r="M100" s="52"/>
      <c r="N100" s="52"/>
      <c r="O100" s="52"/>
      <c r="P100" s="52"/>
      <c r="Q100" s="52"/>
      <c r="R100" s="52"/>
      <c r="S100" s="52"/>
    </row>
    <row r="101" spans="2:19" s="54" customFormat="1" ht="15" customHeight="1" thickBot="1">
      <c r="B101" s="81" t="str">
        <f>Assumptions!C102</f>
        <v>TOTAL ADMINISTRATIVE STAFF PERSONNEL COSTS</v>
      </c>
      <c r="C101" s="53"/>
      <c r="D101" s="307">
        <f>SUM(D94:D100)</f>
        <v>0</v>
      </c>
      <c r="E101" s="307">
        <f>SUM(E94:E100)</f>
        <v>0</v>
      </c>
      <c r="F101" s="307">
        <f>SUM(F94:F100)</f>
        <v>0</v>
      </c>
      <c r="G101" s="307">
        <f>SUM(G94:G100)</f>
        <v>0</v>
      </c>
      <c r="H101" s="307">
        <f>SUM(H94:H100)</f>
        <v>0</v>
      </c>
      <c r="I101" s="80"/>
      <c r="J101" s="287"/>
      <c r="K101" s="52"/>
      <c r="L101" s="52"/>
      <c r="M101" s="52"/>
      <c r="N101" s="52"/>
      <c r="O101" s="52"/>
      <c r="P101" s="52"/>
      <c r="Q101" s="52"/>
      <c r="R101" s="52"/>
      <c r="S101" s="52"/>
    </row>
    <row r="102" spans="2:19" s="54" customFormat="1" ht="6" customHeight="1" thickTop="1">
      <c r="B102" s="81"/>
      <c r="C102" s="53"/>
      <c r="D102" s="308"/>
      <c r="E102" s="308"/>
      <c r="F102" s="308"/>
      <c r="G102" s="308"/>
      <c r="H102" s="308"/>
      <c r="I102" s="80"/>
      <c r="J102" s="287"/>
      <c r="K102" s="52"/>
      <c r="L102" s="52"/>
      <c r="M102" s="52"/>
      <c r="N102" s="52"/>
      <c r="O102" s="52"/>
      <c r="P102" s="52"/>
      <c r="Q102" s="52"/>
      <c r="R102" s="52"/>
      <c r="S102" s="52"/>
    </row>
    <row r="103" spans="2:19" s="54" customFormat="1" ht="15" customHeight="1">
      <c r="B103" s="81" t="str">
        <f>Assumptions!C104</f>
        <v>INSTRUCTIONAL PERSONNEL COSTS</v>
      </c>
      <c r="C103" s="53"/>
      <c r="D103" s="310"/>
      <c r="E103" s="310"/>
      <c r="F103" s="310"/>
      <c r="G103" s="310"/>
      <c r="H103" s="310"/>
      <c r="I103" s="80"/>
      <c r="J103" s="287"/>
      <c r="K103" s="52"/>
      <c r="L103" s="52"/>
      <c r="M103" s="52"/>
      <c r="N103" s="52"/>
      <c r="O103" s="52"/>
      <c r="P103" s="52"/>
      <c r="Q103" s="52"/>
      <c r="R103" s="52"/>
      <c r="S103" s="52"/>
    </row>
    <row r="104" spans="2:19" s="54" customFormat="1" ht="15" customHeight="1">
      <c r="B104" s="94" t="str">
        <f>Assumptions!C105</f>
        <v>Teachers - Regular</v>
      </c>
      <c r="C104" s="53"/>
      <c r="D104" s="310">
        <f>SUMIF(Personnel!$D:$D,'5 YR Budget'!$B104,Personnel!$N:$N)</f>
        <v>0</v>
      </c>
      <c r="E104" s="310">
        <f>SUMIF(Personnel!$D:$D,'5 YR Budget'!$B104,Personnel!$O:$O)</f>
        <v>0</v>
      </c>
      <c r="F104" s="310">
        <f>SUMIF(Personnel!$D:$D,'5 YR Budget'!$B104,Personnel!$P:$P)</f>
        <v>0</v>
      </c>
      <c r="G104" s="310">
        <f>SUMIF(Personnel!$D:$D,'5 YR Budget'!$B104,Personnel!$Q:$Q)</f>
        <v>0</v>
      </c>
      <c r="H104" s="310">
        <f>SUMIF(Personnel!$D:$D,'5 YR Budget'!$B104,Personnel!$R:$R)</f>
        <v>0</v>
      </c>
      <c r="I104" s="80"/>
      <c r="J104" s="287"/>
      <c r="K104" s="52"/>
      <c r="L104" s="52"/>
      <c r="M104" s="52"/>
      <c r="N104" s="52"/>
      <c r="O104" s="52"/>
      <c r="P104" s="52"/>
      <c r="Q104" s="52"/>
      <c r="R104" s="52"/>
      <c r="S104" s="52"/>
    </row>
    <row r="105" spans="2:19" s="54" customFormat="1" ht="15" customHeight="1">
      <c r="B105" s="94" t="str">
        <f>Assumptions!C106</f>
        <v>Teachers - SPED</v>
      </c>
      <c r="C105" s="53"/>
      <c r="D105" s="310">
        <f>SUMIF(Personnel!$D:$D,'5 YR Budget'!$B105,Personnel!$N:$N)</f>
        <v>0</v>
      </c>
      <c r="E105" s="310">
        <f>SUMIF(Personnel!$D:$D,'5 YR Budget'!$B105,Personnel!$O:$O)</f>
        <v>0</v>
      </c>
      <c r="F105" s="310">
        <f>SUMIF(Personnel!$D:$D,'5 YR Budget'!$B105,Personnel!$P:$P)</f>
        <v>0</v>
      </c>
      <c r="G105" s="310">
        <f>SUMIF(Personnel!$D:$D,'5 YR Budget'!$B105,Personnel!$Q:$Q)</f>
        <v>0</v>
      </c>
      <c r="H105" s="310">
        <f>SUMIF(Personnel!$D:$D,'5 YR Budget'!$B105,Personnel!$R:$R)</f>
        <v>0</v>
      </c>
      <c r="I105" s="80"/>
      <c r="J105" s="287"/>
      <c r="K105" s="52"/>
      <c r="L105" s="52"/>
      <c r="M105" s="52"/>
      <c r="N105" s="52"/>
      <c r="O105" s="52"/>
      <c r="P105" s="52"/>
      <c r="Q105" s="52"/>
      <c r="R105" s="52"/>
      <c r="S105" s="52"/>
    </row>
    <row r="106" spans="2:19" s="54" customFormat="1" ht="15" customHeight="1">
      <c r="B106" s="94" t="str">
        <f>Assumptions!C107</f>
        <v>Substitute Teachers</v>
      </c>
      <c r="C106" s="53"/>
      <c r="D106" s="310">
        <f>SUMIF(Personnel!$D:$D,'5 YR Budget'!$B106,Personnel!$N:$N)</f>
        <v>0</v>
      </c>
      <c r="E106" s="310">
        <f>SUMIF(Personnel!$D:$D,'5 YR Budget'!$B106,Personnel!$O:$O)</f>
        <v>0</v>
      </c>
      <c r="F106" s="310">
        <f>SUMIF(Personnel!$D:$D,'5 YR Budget'!$B106,Personnel!$P:$P)</f>
        <v>0</v>
      </c>
      <c r="G106" s="310">
        <f>SUMIF(Personnel!$D:$D,'5 YR Budget'!$B106,Personnel!$Q:$Q)</f>
        <v>0</v>
      </c>
      <c r="H106" s="310">
        <f>SUMIF(Personnel!$D:$D,'5 YR Budget'!$B106,Personnel!$R:$R)</f>
        <v>0</v>
      </c>
      <c r="I106" s="80"/>
      <c r="J106" s="287"/>
      <c r="K106" s="52"/>
      <c r="L106" s="52"/>
      <c r="M106" s="52"/>
      <c r="N106" s="52"/>
      <c r="O106" s="52"/>
      <c r="P106" s="52"/>
      <c r="Q106" s="52"/>
      <c r="R106" s="52"/>
      <c r="S106" s="52"/>
    </row>
    <row r="107" spans="2:19" s="54" customFormat="1" ht="15" customHeight="1">
      <c r="B107" s="94" t="str">
        <f>Assumptions!C108</f>
        <v>Teaching Assistants</v>
      </c>
      <c r="C107" s="53"/>
      <c r="D107" s="310">
        <f>SUMIF(Personnel!$D:$D,'5 YR Budget'!$B107,Personnel!$N:$N)</f>
        <v>0</v>
      </c>
      <c r="E107" s="310">
        <f>SUMIF(Personnel!$D:$D,'5 YR Budget'!$B107,Personnel!$O:$O)</f>
        <v>0</v>
      </c>
      <c r="F107" s="310">
        <f>SUMIF(Personnel!$D:$D,'5 YR Budget'!$B107,Personnel!$P:$P)</f>
        <v>0</v>
      </c>
      <c r="G107" s="310">
        <f>SUMIF(Personnel!$D:$D,'5 YR Budget'!$B107,Personnel!$Q:$Q)</f>
        <v>0</v>
      </c>
      <c r="H107" s="310">
        <f>SUMIF(Personnel!$D:$D,'5 YR Budget'!$B107,Personnel!$R:$R)</f>
        <v>0</v>
      </c>
      <c r="I107" s="80"/>
      <c r="J107" s="287"/>
      <c r="K107" s="52"/>
      <c r="L107" s="52"/>
      <c r="M107" s="52"/>
      <c r="N107" s="52"/>
      <c r="O107" s="52"/>
      <c r="P107" s="52"/>
      <c r="Q107" s="52"/>
      <c r="R107" s="52"/>
      <c r="S107" s="52"/>
    </row>
    <row r="108" spans="2:19" s="54" customFormat="1" ht="15" customHeight="1">
      <c r="B108" s="94" t="str">
        <f>Assumptions!C109</f>
        <v>Specialty Teachers</v>
      </c>
      <c r="C108" s="53"/>
      <c r="D108" s="310">
        <f>SUMIF(Personnel!$D:$D,'5 YR Budget'!$B108,Personnel!$N:$N)</f>
        <v>0</v>
      </c>
      <c r="E108" s="310">
        <f>SUMIF(Personnel!$D:$D,'5 YR Budget'!$B108,Personnel!$O:$O)</f>
        <v>0</v>
      </c>
      <c r="F108" s="310">
        <f>SUMIF(Personnel!$D:$D,'5 YR Budget'!$B108,Personnel!$P:$P)</f>
        <v>0</v>
      </c>
      <c r="G108" s="310">
        <f>SUMIF(Personnel!$D:$D,'5 YR Budget'!$B108,Personnel!$Q:$Q)</f>
        <v>0</v>
      </c>
      <c r="H108" s="310">
        <f>SUMIF(Personnel!$D:$D,'5 YR Budget'!$B108,Personnel!$R:$R)</f>
        <v>0</v>
      </c>
      <c r="I108" s="80"/>
      <c r="J108" s="287"/>
      <c r="K108" s="52"/>
      <c r="L108" s="52"/>
      <c r="M108" s="52"/>
      <c r="N108" s="52"/>
      <c r="O108" s="52"/>
      <c r="P108" s="52"/>
      <c r="Q108" s="52"/>
      <c r="R108" s="52"/>
      <c r="S108" s="52"/>
    </row>
    <row r="109" spans="2:19" s="54" customFormat="1" ht="15" customHeight="1">
      <c r="B109" s="94" t="str">
        <f>Assumptions!C110</f>
        <v>Aides</v>
      </c>
      <c r="C109" s="53"/>
      <c r="D109" s="310">
        <f>SUMIF(Personnel!$D:$D,'5 YR Budget'!$B109,Personnel!$N:$N)</f>
        <v>0</v>
      </c>
      <c r="E109" s="310">
        <f>SUMIF(Personnel!$D:$D,'5 YR Budget'!$B109,Personnel!$O:$O)</f>
        <v>0</v>
      </c>
      <c r="F109" s="310">
        <f>SUMIF(Personnel!$D:$D,'5 YR Budget'!$B109,Personnel!$P:$P)</f>
        <v>0</v>
      </c>
      <c r="G109" s="310">
        <f>SUMIF(Personnel!$D:$D,'5 YR Budget'!$B109,Personnel!$Q:$Q)</f>
        <v>0</v>
      </c>
      <c r="H109" s="310">
        <f>SUMIF(Personnel!$D:$D,'5 YR Budget'!$B109,Personnel!$R:$R)</f>
        <v>0</v>
      </c>
      <c r="I109" s="80"/>
      <c r="J109" s="287"/>
      <c r="K109" s="52"/>
      <c r="L109" s="52"/>
      <c r="M109" s="52"/>
      <c r="N109" s="52"/>
      <c r="O109" s="52"/>
      <c r="P109" s="52"/>
      <c r="Q109" s="52"/>
      <c r="R109" s="52"/>
      <c r="S109" s="52"/>
    </row>
    <row r="110" spans="2:19" s="54" customFormat="1" ht="15" customHeight="1">
      <c r="B110" s="94" t="str">
        <f>Assumptions!C111</f>
        <v>Therapists &amp; Counselors</v>
      </c>
      <c r="C110" s="53"/>
      <c r="D110" s="310">
        <f>SUMIF(Personnel!$D:$D,'5 YR Budget'!$B110,Personnel!$N:$N)</f>
        <v>0</v>
      </c>
      <c r="E110" s="310">
        <f>SUMIF(Personnel!$D:$D,'5 YR Budget'!$B110,Personnel!$O:$O)</f>
        <v>0</v>
      </c>
      <c r="F110" s="310">
        <f>SUMIF(Personnel!$D:$D,'5 YR Budget'!$B110,Personnel!$P:$P)</f>
        <v>0</v>
      </c>
      <c r="G110" s="310">
        <f>SUMIF(Personnel!$D:$D,'5 YR Budget'!$B110,Personnel!$Q:$Q)</f>
        <v>0</v>
      </c>
      <c r="H110" s="310">
        <f>SUMIF(Personnel!$D:$D,'5 YR Budget'!$B110,Personnel!$R:$R)</f>
        <v>0</v>
      </c>
      <c r="I110" s="80"/>
      <c r="J110" s="287"/>
      <c r="K110" s="52"/>
      <c r="L110" s="52"/>
      <c r="M110" s="52"/>
      <c r="N110" s="52"/>
      <c r="O110" s="52"/>
      <c r="P110" s="52"/>
      <c r="Q110" s="52"/>
      <c r="R110" s="52"/>
      <c r="S110" s="52"/>
    </row>
    <row r="111" spans="2:19" s="54" customFormat="1" ht="15" customHeight="1">
      <c r="B111" s="94" t="str">
        <f>Assumptions!C112</f>
        <v xml:space="preserve">Other - Instructional </v>
      </c>
      <c r="C111" s="53"/>
      <c r="D111" s="310">
        <f>SUMIF(Personnel!$D:$D,'5 YR Budget'!$B111,Personnel!$N:$N)</f>
        <v>0</v>
      </c>
      <c r="E111" s="310">
        <f>SUMIF(Personnel!$D:$D,'5 YR Budget'!$B111,Personnel!$O:$O)</f>
        <v>0</v>
      </c>
      <c r="F111" s="310">
        <f>SUMIF(Personnel!$D:$D,'5 YR Budget'!$B111,Personnel!$P:$P)</f>
        <v>0</v>
      </c>
      <c r="G111" s="310">
        <f>SUMIF(Personnel!$D:$D,'5 YR Budget'!$B111,Personnel!$Q:$Q)</f>
        <v>0</v>
      </c>
      <c r="H111" s="310">
        <f>SUMIF(Personnel!$D:$D,'5 YR Budget'!$B111,Personnel!$R:$R)</f>
        <v>0</v>
      </c>
      <c r="I111" s="80"/>
      <c r="J111" s="287"/>
      <c r="K111" s="52"/>
      <c r="L111" s="52"/>
      <c r="M111" s="52"/>
      <c r="N111" s="52"/>
      <c r="O111" s="52"/>
      <c r="P111" s="52"/>
      <c r="Q111" s="52"/>
      <c r="R111" s="52"/>
      <c r="S111" s="52"/>
    </row>
    <row r="112" spans="2:19" s="54" customFormat="1" ht="15" customHeight="1" thickBot="1">
      <c r="B112" s="81" t="str">
        <f>Assumptions!C113</f>
        <v>TOTAL INSTRUCTIONAL PERSONNEL COSTS</v>
      </c>
      <c r="C112" s="53"/>
      <c r="D112" s="313">
        <f>SUM(D104:D111)</f>
        <v>0</v>
      </c>
      <c r="E112" s="313">
        <f>SUM(E104:E111)</f>
        <v>0</v>
      </c>
      <c r="F112" s="313">
        <f>SUM(F104:F111)</f>
        <v>0</v>
      </c>
      <c r="G112" s="313">
        <f>SUM(G104:G111)</f>
        <v>0</v>
      </c>
      <c r="H112" s="313">
        <f>SUM(H104:H111)</f>
        <v>0</v>
      </c>
      <c r="I112" s="80"/>
      <c r="J112" s="287"/>
      <c r="K112" s="52"/>
      <c r="L112" s="52"/>
      <c r="M112" s="52"/>
      <c r="N112" s="52"/>
      <c r="O112" s="52"/>
      <c r="P112" s="52"/>
      <c r="Q112" s="52"/>
      <c r="R112" s="52"/>
      <c r="S112" s="52"/>
    </row>
    <row r="113" spans="2:19" s="54" customFormat="1" ht="6" customHeight="1" thickTop="1">
      <c r="B113" s="81"/>
      <c r="C113" s="53"/>
      <c r="D113" s="308"/>
      <c r="E113" s="308"/>
      <c r="F113" s="308"/>
      <c r="G113" s="308"/>
      <c r="H113" s="308"/>
      <c r="I113" s="80"/>
      <c r="J113" s="287"/>
      <c r="K113" s="52"/>
      <c r="L113" s="52"/>
      <c r="M113" s="52"/>
      <c r="N113" s="52"/>
      <c r="O113" s="52"/>
      <c r="P113" s="52"/>
      <c r="Q113" s="52"/>
      <c r="R113" s="52"/>
      <c r="S113" s="52"/>
    </row>
    <row r="114" spans="2:19" s="54" customFormat="1" ht="15" customHeight="1">
      <c r="B114" s="81" t="str">
        <f>Assumptions!C115</f>
        <v>NON-INSTRUCTIONAL PERSONNEL COSTS</v>
      </c>
      <c r="C114" s="53"/>
      <c r="D114" s="310"/>
      <c r="E114" s="310"/>
      <c r="F114" s="310"/>
      <c r="G114" s="310"/>
      <c r="H114" s="310"/>
      <c r="I114" s="80"/>
      <c r="J114" s="287"/>
      <c r="K114" s="52"/>
      <c r="L114" s="52"/>
      <c r="M114" s="52"/>
      <c r="N114" s="52"/>
      <c r="O114" s="52"/>
      <c r="P114" s="52"/>
      <c r="Q114" s="52"/>
      <c r="R114" s="52"/>
      <c r="S114" s="52"/>
    </row>
    <row r="115" spans="2:19" s="54" customFormat="1" ht="15" customHeight="1">
      <c r="B115" s="83" t="str">
        <f>Assumptions!C116</f>
        <v>Nurse</v>
      </c>
      <c r="C115" s="53"/>
      <c r="D115" s="310">
        <f>SUMIF(Personnel!$D:$D,'5 YR Budget'!$B115,Personnel!$N:$N)</f>
        <v>0</v>
      </c>
      <c r="E115" s="310">
        <f>SUMIF(Personnel!$D:$D,'5 YR Budget'!$B115,Personnel!$O:$O)</f>
        <v>0</v>
      </c>
      <c r="F115" s="310">
        <f>SUMIF(Personnel!$D:$D,'5 YR Budget'!$B115,Personnel!$P:$P)</f>
        <v>0</v>
      </c>
      <c r="G115" s="310">
        <f>SUMIF(Personnel!$D:$D,'5 YR Budget'!$B115,Personnel!$Q:$Q)</f>
        <v>0</v>
      </c>
      <c r="H115" s="310">
        <f>SUMIF(Personnel!$D:$D,'5 YR Budget'!$B115,Personnel!$R:$R)</f>
        <v>0</v>
      </c>
      <c r="I115" s="80"/>
      <c r="J115" s="287"/>
      <c r="K115" s="52"/>
      <c r="L115" s="52"/>
      <c r="M115" s="52"/>
      <c r="N115" s="52"/>
      <c r="O115" s="52"/>
      <c r="P115" s="52"/>
      <c r="Q115" s="52"/>
      <c r="R115" s="52"/>
      <c r="S115" s="52"/>
    </row>
    <row r="116" spans="2:19" s="54" customFormat="1" ht="15" customHeight="1">
      <c r="B116" s="83" t="str">
        <f>Assumptions!C117</f>
        <v>Librarian</v>
      </c>
      <c r="C116" s="53"/>
      <c r="D116" s="310">
        <f>SUMIF(Personnel!$D:$D,'5 YR Budget'!$B116,Personnel!$N:$N)</f>
        <v>0</v>
      </c>
      <c r="E116" s="310">
        <f>SUMIF(Personnel!$D:$D,'5 YR Budget'!$B116,Personnel!$O:$O)</f>
        <v>0</v>
      </c>
      <c r="F116" s="310">
        <f>SUMIF(Personnel!$D:$D,'5 YR Budget'!$B116,Personnel!$P:$P)</f>
        <v>0</v>
      </c>
      <c r="G116" s="310">
        <f>SUMIF(Personnel!$D:$D,'5 YR Budget'!$B116,Personnel!$Q:$Q)</f>
        <v>0</v>
      </c>
      <c r="H116" s="310">
        <f>SUMIF(Personnel!$D:$D,'5 YR Budget'!$B116,Personnel!$R:$R)</f>
        <v>0</v>
      </c>
      <c r="I116" s="80"/>
      <c r="J116" s="287"/>
      <c r="K116" s="52"/>
      <c r="L116" s="52"/>
      <c r="M116" s="52"/>
      <c r="N116" s="52"/>
      <c r="O116" s="52"/>
      <c r="P116" s="52"/>
      <c r="Q116" s="52"/>
      <c r="R116" s="52"/>
      <c r="S116" s="52"/>
    </row>
    <row r="117" spans="2:19" s="54" customFormat="1" ht="15" customHeight="1">
      <c r="B117" s="83" t="str">
        <f>Assumptions!C118</f>
        <v>Custodian</v>
      </c>
      <c r="C117" s="53"/>
      <c r="D117" s="310">
        <f>SUMIF(Personnel!$D:$D,'5 YR Budget'!$B117,Personnel!$N:$N)</f>
        <v>0</v>
      </c>
      <c r="E117" s="310">
        <f>SUMIF(Personnel!$D:$D,'5 YR Budget'!$B117,Personnel!$O:$O)</f>
        <v>0</v>
      </c>
      <c r="F117" s="310">
        <f>SUMIF(Personnel!$D:$D,'5 YR Budget'!$B117,Personnel!$P:$P)</f>
        <v>0</v>
      </c>
      <c r="G117" s="310">
        <f>SUMIF(Personnel!$D:$D,'5 YR Budget'!$B117,Personnel!$Q:$Q)</f>
        <v>0</v>
      </c>
      <c r="H117" s="310">
        <f>SUMIF(Personnel!$D:$D,'5 YR Budget'!$B117,Personnel!$R:$R)</f>
        <v>0</v>
      </c>
      <c r="I117" s="80"/>
      <c r="J117" s="287"/>
      <c r="K117" s="52"/>
      <c r="L117" s="52"/>
      <c r="M117" s="52"/>
      <c r="N117" s="52"/>
      <c r="O117" s="52"/>
      <c r="P117" s="52"/>
      <c r="Q117" s="52"/>
      <c r="R117" s="52"/>
      <c r="S117" s="52"/>
    </row>
    <row r="118" spans="2:19" s="54" customFormat="1" ht="15" customHeight="1">
      <c r="B118" s="83" t="str">
        <f>Assumptions!C119</f>
        <v>Security</v>
      </c>
      <c r="C118" s="53"/>
      <c r="D118" s="310">
        <f>SUMIF(Personnel!$D:$D,'5 YR Budget'!$B118,Personnel!$N:$N)</f>
        <v>0</v>
      </c>
      <c r="E118" s="310">
        <f>SUMIF(Personnel!$D:$D,'5 YR Budget'!$B118,Personnel!$O:$O)</f>
        <v>0</v>
      </c>
      <c r="F118" s="310">
        <f>SUMIF(Personnel!$D:$D,'5 YR Budget'!$B118,Personnel!$P:$P)</f>
        <v>0</v>
      </c>
      <c r="G118" s="310">
        <f>SUMIF(Personnel!$D:$D,'5 YR Budget'!$B118,Personnel!$Q:$Q)</f>
        <v>0</v>
      </c>
      <c r="H118" s="310">
        <f>SUMIF(Personnel!$D:$D,'5 YR Budget'!$B118,Personnel!$R:$R)</f>
        <v>0</v>
      </c>
      <c r="I118" s="80"/>
      <c r="J118" s="287"/>
      <c r="K118" s="52"/>
      <c r="L118" s="52"/>
      <c r="M118" s="52"/>
      <c r="N118" s="52"/>
      <c r="O118" s="52"/>
      <c r="P118" s="52"/>
      <c r="Q118" s="52"/>
      <c r="R118" s="52"/>
      <c r="S118" s="52"/>
    </row>
    <row r="119" spans="2:19" s="54" customFormat="1" ht="15" customHeight="1">
      <c r="B119" s="83" t="str">
        <f>Assumptions!C120</f>
        <v xml:space="preserve">Other - Non-Instructional </v>
      </c>
      <c r="C119" s="53"/>
      <c r="D119" s="310">
        <f>SUMIF(Personnel!$D:$D,'5 YR Budget'!$B119,Personnel!$N:$N)</f>
        <v>0</v>
      </c>
      <c r="E119" s="310">
        <f>SUMIF(Personnel!$D:$D,'5 YR Budget'!$B119,Personnel!$O:$O)</f>
        <v>0</v>
      </c>
      <c r="F119" s="310">
        <f>SUMIF(Personnel!$D:$D,'5 YR Budget'!$B119,Personnel!$P:$P)</f>
        <v>0</v>
      </c>
      <c r="G119" s="310">
        <f>SUMIF(Personnel!$D:$D,'5 YR Budget'!$B119,Personnel!$Q:$Q)</f>
        <v>0</v>
      </c>
      <c r="H119" s="310">
        <f>SUMIF(Personnel!$D:$D,'5 YR Budget'!$B119,Personnel!$R:$R)</f>
        <v>0</v>
      </c>
      <c r="I119" s="80"/>
      <c r="J119" s="287"/>
      <c r="K119" s="52"/>
      <c r="L119" s="52"/>
      <c r="M119" s="52"/>
      <c r="N119" s="52"/>
      <c r="O119" s="52"/>
      <c r="P119" s="52"/>
      <c r="Q119" s="52"/>
      <c r="R119" s="52"/>
      <c r="S119" s="52"/>
    </row>
    <row r="120" spans="2:19" s="54" customFormat="1" ht="15" customHeight="1" thickBot="1">
      <c r="B120" s="81" t="str">
        <f>Assumptions!C121</f>
        <v>TOTAL NON-INSTRUCTIONAL PERSONNEL COSTS</v>
      </c>
      <c r="C120" s="53"/>
      <c r="D120" s="313">
        <f>SUM(D115:D119)</f>
        <v>0</v>
      </c>
      <c r="E120" s="313">
        <f>SUM(E115:E119)</f>
        <v>0</v>
      </c>
      <c r="F120" s="313">
        <f>SUM(F115:F119)</f>
        <v>0</v>
      </c>
      <c r="G120" s="313">
        <f>SUM(G115:G119)</f>
        <v>0</v>
      </c>
      <c r="H120" s="313">
        <f>SUM(H115:H119)</f>
        <v>0</v>
      </c>
      <c r="I120" s="80"/>
      <c r="J120" s="287"/>
      <c r="K120" s="52"/>
      <c r="L120" s="52"/>
      <c r="M120" s="52"/>
      <c r="N120" s="52"/>
      <c r="O120" s="52"/>
      <c r="P120" s="52"/>
      <c r="Q120" s="52"/>
      <c r="R120" s="52"/>
      <c r="S120" s="52"/>
    </row>
    <row r="121" spans="2:19" s="54" customFormat="1" ht="6" customHeight="1" thickTop="1">
      <c r="B121" s="81"/>
      <c r="C121" s="53"/>
      <c r="D121" s="314"/>
      <c r="E121" s="314"/>
      <c r="F121" s="314"/>
      <c r="G121" s="314"/>
      <c r="H121" s="314"/>
      <c r="I121" s="80"/>
      <c r="J121" s="287"/>
      <c r="K121" s="52"/>
      <c r="L121" s="52"/>
      <c r="M121" s="52"/>
      <c r="N121" s="52"/>
      <c r="O121" s="52"/>
      <c r="P121" s="52"/>
      <c r="Q121" s="52"/>
      <c r="R121" s="52"/>
      <c r="S121" s="52"/>
    </row>
    <row r="122" spans="2:19" s="162" customFormat="1" ht="15" customHeight="1" thickBot="1">
      <c r="B122" s="338" t="str">
        <f>Assumptions!C123</f>
        <v>TOTAL PERSONNEL EXPENSES</v>
      </c>
      <c r="C122" s="64"/>
      <c r="D122" s="335">
        <f>D101+D112+D120</f>
        <v>0</v>
      </c>
      <c r="E122" s="335">
        <f>E101+E112+E120</f>
        <v>0</v>
      </c>
      <c r="F122" s="335">
        <f>F101+F112+F120</f>
        <v>0</v>
      </c>
      <c r="G122" s="335">
        <f>G101+G112+G120</f>
        <v>0</v>
      </c>
      <c r="H122" s="335">
        <f>H101+H112+H120</f>
        <v>0</v>
      </c>
      <c r="I122" s="336"/>
      <c r="J122" s="282"/>
      <c r="K122" s="341"/>
      <c r="L122" s="341"/>
      <c r="M122" s="341"/>
      <c r="N122" s="341"/>
      <c r="O122" s="341"/>
      <c r="P122" s="341"/>
      <c r="Q122" s="341"/>
      <c r="R122" s="341"/>
      <c r="S122" s="341"/>
    </row>
    <row r="123" spans="2:19" s="54" customFormat="1" ht="6" customHeight="1" thickTop="1">
      <c r="B123" s="81"/>
      <c r="C123" s="53"/>
      <c r="D123" s="308"/>
      <c r="E123" s="308"/>
      <c r="F123" s="308"/>
      <c r="G123" s="308"/>
      <c r="H123" s="308"/>
      <c r="I123" s="80"/>
      <c r="J123" s="287"/>
      <c r="K123" s="52"/>
      <c r="L123" s="52"/>
      <c r="M123" s="52"/>
      <c r="N123" s="52"/>
      <c r="O123" s="52"/>
      <c r="P123" s="52"/>
      <c r="Q123" s="52"/>
      <c r="R123" s="52"/>
      <c r="S123" s="52"/>
    </row>
    <row r="124" spans="2:19" s="54" customFormat="1" ht="15" customHeight="1">
      <c r="B124" s="81" t="str">
        <f>Assumptions!C125</f>
        <v>PAYROLL TAXES AND BENEFITS</v>
      </c>
      <c r="C124" s="53"/>
      <c r="D124" s="310"/>
      <c r="E124" s="310"/>
      <c r="F124" s="310"/>
      <c r="G124" s="310"/>
      <c r="H124" s="310"/>
      <c r="I124" s="80"/>
      <c r="J124" s="287"/>
      <c r="K124" s="52"/>
      <c r="L124" s="52"/>
      <c r="M124" s="52"/>
      <c r="N124" s="52"/>
      <c r="O124" s="52"/>
      <c r="P124" s="52"/>
      <c r="Q124" s="52"/>
      <c r="R124" s="52"/>
      <c r="S124" s="52"/>
    </row>
    <row r="125" spans="2:19" s="54" customFormat="1" ht="15" customHeight="1">
      <c r="B125" s="83" t="str">
        <f>Assumptions!C126</f>
        <v>Social Security</v>
      </c>
      <c r="C125" s="53"/>
      <c r="D125" s="310">
        <f t="shared" ref="D125:D137" si="0">VLOOKUP($B125,X_Assumptions,6,FALSE)*$D$122</f>
        <v>0</v>
      </c>
      <c r="E125" s="310">
        <f t="shared" ref="E125:E137" si="1">VLOOKUP($B125,X_Assumptions,7,FALSE)*$E$122</f>
        <v>0</v>
      </c>
      <c r="F125" s="310">
        <f t="shared" ref="F125:F137" si="2">VLOOKUP($B125,X_Assumptions,8,FALSE)*$F$122</f>
        <v>0</v>
      </c>
      <c r="G125" s="310">
        <f t="shared" ref="G125:G137" si="3">VLOOKUP($B125,X_Assumptions,9,FALSE)*$G$122</f>
        <v>0</v>
      </c>
      <c r="H125" s="310">
        <f t="shared" ref="H125:H137" si="4">VLOOKUP($B125,X_Assumptions,10,FALSE)*$H$122</f>
        <v>0</v>
      </c>
      <c r="I125" s="80"/>
      <c r="J125" s="287"/>
      <c r="K125" s="52"/>
      <c r="L125" s="52"/>
      <c r="M125" s="52"/>
      <c r="N125" s="52"/>
      <c r="O125" s="52"/>
      <c r="P125" s="52"/>
      <c r="Q125" s="52"/>
      <c r="R125" s="52"/>
      <c r="S125" s="52"/>
    </row>
    <row r="126" spans="2:19" s="54" customFormat="1" ht="15" customHeight="1">
      <c r="B126" s="83" t="str">
        <f>Assumptions!C127</f>
        <v>Medicare</v>
      </c>
      <c r="C126" s="53"/>
      <c r="D126" s="310">
        <f t="shared" si="0"/>
        <v>0</v>
      </c>
      <c r="E126" s="310">
        <f t="shared" si="1"/>
        <v>0</v>
      </c>
      <c r="F126" s="310">
        <f t="shared" si="2"/>
        <v>0</v>
      </c>
      <c r="G126" s="310">
        <f t="shared" si="3"/>
        <v>0</v>
      </c>
      <c r="H126" s="310">
        <f t="shared" si="4"/>
        <v>0</v>
      </c>
      <c r="I126" s="80"/>
      <c r="J126" s="287"/>
      <c r="K126" s="52"/>
      <c r="L126" s="52"/>
      <c r="M126" s="52"/>
      <c r="N126" s="52"/>
      <c r="O126" s="52"/>
      <c r="P126" s="52"/>
      <c r="Q126" s="52"/>
      <c r="R126" s="52"/>
      <c r="S126" s="52"/>
    </row>
    <row r="127" spans="2:19" s="54" customFormat="1" ht="15" customHeight="1">
      <c r="B127" s="83" t="str">
        <f>Assumptions!C128</f>
        <v>State Unemployment</v>
      </c>
      <c r="C127" s="53"/>
      <c r="D127" s="310">
        <f t="shared" si="0"/>
        <v>0</v>
      </c>
      <c r="E127" s="310">
        <f t="shared" si="1"/>
        <v>0</v>
      </c>
      <c r="F127" s="310">
        <f t="shared" si="2"/>
        <v>0</v>
      </c>
      <c r="G127" s="310">
        <f t="shared" si="3"/>
        <v>0</v>
      </c>
      <c r="H127" s="310">
        <f t="shared" si="4"/>
        <v>0</v>
      </c>
      <c r="I127" s="80"/>
      <c r="J127" s="287"/>
      <c r="K127" s="52"/>
      <c r="L127" s="52"/>
      <c r="M127" s="52"/>
      <c r="N127" s="52"/>
      <c r="O127" s="52"/>
      <c r="P127" s="52"/>
      <c r="Q127" s="52"/>
      <c r="R127" s="52"/>
      <c r="S127" s="52"/>
    </row>
    <row r="128" spans="2:19" s="54" customFormat="1" ht="15" customHeight="1">
      <c r="B128" s="83" t="str">
        <f>Assumptions!C129</f>
        <v>Worker's Compensation Insurance</v>
      </c>
      <c r="C128" s="53"/>
      <c r="D128" s="310">
        <f t="shared" si="0"/>
        <v>0</v>
      </c>
      <c r="E128" s="310">
        <f t="shared" si="1"/>
        <v>0</v>
      </c>
      <c r="F128" s="310">
        <f t="shared" si="2"/>
        <v>0</v>
      </c>
      <c r="G128" s="310">
        <f t="shared" si="3"/>
        <v>0</v>
      </c>
      <c r="H128" s="310">
        <f t="shared" si="4"/>
        <v>0</v>
      </c>
      <c r="I128" s="80"/>
      <c r="J128" s="287"/>
      <c r="K128" s="52"/>
      <c r="L128" s="52"/>
      <c r="M128" s="52"/>
      <c r="N128" s="52"/>
      <c r="O128" s="52"/>
      <c r="P128" s="52"/>
      <c r="Q128" s="52"/>
      <c r="R128" s="52"/>
      <c r="S128" s="52"/>
    </row>
    <row r="129" spans="2:19" s="54" customFormat="1" ht="15" customHeight="1">
      <c r="B129" s="83" t="str">
        <f>Assumptions!C130</f>
        <v>Custom Other Tax #1</v>
      </c>
      <c r="C129" s="53"/>
      <c r="D129" s="310">
        <f t="shared" si="0"/>
        <v>0</v>
      </c>
      <c r="E129" s="310">
        <f t="shared" si="1"/>
        <v>0</v>
      </c>
      <c r="F129" s="310">
        <f t="shared" si="2"/>
        <v>0</v>
      </c>
      <c r="G129" s="310">
        <f t="shared" si="3"/>
        <v>0</v>
      </c>
      <c r="H129" s="310">
        <f t="shared" si="4"/>
        <v>0</v>
      </c>
      <c r="I129" s="80"/>
      <c r="J129" s="287"/>
      <c r="K129" s="52"/>
      <c r="L129" s="52"/>
      <c r="M129" s="52"/>
      <c r="N129" s="52"/>
      <c r="O129" s="52"/>
      <c r="P129" s="52"/>
      <c r="Q129" s="52"/>
      <c r="R129" s="52"/>
      <c r="S129" s="52"/>
    </row>
    <row r="130" spans="2:19" s="54" customFormat="1" ht="15" customHeight="1">
      <c r="B130" s="83" t="str">
        <f>Assumptions!C131</f>
        <v>Custom Other Tax #2</v>
      </c>
      <c r="C130" s="53"/>
      <c r="D130" s="310">
        <f t="shared" si="0"/>
        <v>0</v>
      </c>
      <c r="E130" s="310">
        <f t="shared" si="1"/>
        <v>0</v>
      </c>
      <c r="F130" s="310">
        <f t="shared" si="2"/>
        <v>0</v>
      </c>
      <c r="G130" s="310">
        <f t="shared" si="3"/>
        <v>0</v>
      </c>
      <c r="H130" s="310">
        <f t="shared" si="4"/>
        <v>0</v>
      </c>
      <c r="I130" s="80"/>
      <c r="J130" s="287"/>
      <c r="K130" s="52"/>
      <c r="L130" s="52"/>
      <c r="M130" s="52"/>
      <c r="N130" s="52"/>
      <c r="O130" s="52"/>
      <c r="P130" s="52"/>
      <c r="Q130" s="52"/>
      <c r="R130" s="52"/>
      <c r="S130" s="52"/>
    </row>
    <row r="131" spans="2:19" s="54" customFormat="1" ht="15" customHeight="1">
      <c r="B131" s="83" t="str">
        <f>Assumptions!C132</f>
        <v>Health Insurance</v>
      </c>
      <c r="C131" s="53"/>
      <c r="D131" s="310">
        <f t="shared" si="0"/>
        <v>0</v>
      </c>
      <c r="E131" s="310">
        <f t="shared" si="1"/>
        <v>0</v>
      </c>
      <c r="F131" s="310">
        <f t="shared" si="2"/>
        <v>0</v>
      </c>
      <c r="G131" s="310">
        <f t="shared" si="3"/>
        <v>0</v>
      </c>
      <c r="H131" s="310">
        <f t="shared" si="4"/>
        <v>0</v>
      </c>
      <c r="I131" s="80"/>
      <c r="J131" s="287"/>
      <c r="K131" s="52"/>
      <c r="L131" s="52"/>
      <c r="M131" s="52"/>
      <c r="N131" s="52"/>
      <c r="O131" s="52"/>
      <c r="P131" s="52"/>
      <c r="Q131" s="52"/>
      <c r="R131" s="52"/>
      <c r="S131" s="52"/>
    </row>
    <row r="132" spans="2:19" s="54" customFormat="1" ht="15" customHeight="1">
      <c r="B132" s="83" t="str">
        <f>Assumptions!C133</f>
        <v>Dental Insurance</v>
      </c>
      <c r="C132" s="53"/>
      <c r="D132" s="310">
        <f t="shared" si="0"/>
        <v>0</v>
      </c>
      <c r="E132" s="310">
        <f t="shared" si="1"/>
        <v>0</v>
      </c>
      <c r="F132" s="310">
        <f t="shared" si="2"/>
        <v>0</v>
      </c>
      <c r="G132" s="310">
        <f t="shared" si="3"/>
        <v>0</v>
      </c>
      <c r="H132" s="310">
        <f t="shared" si="4"/>
        <v>0</v>
      </c>
      <c r="I132" s="80"/>
      <c r="J132" s="287"/>
      <c r="K132" s="52"/>
      <c r="L132" s="52"/>
      <c r="M132" s="52"/>
      <c r="N132" s="52"/>
      <c r="O132" s="52"/>
      <c r="P132" s="52"/>
      <c r="Q132" s="52"/>
      <c r="R132" s="52"/>
      <c r="S132" s="52"/>
    </row>
    <row r="133" spans="2:19" s="54" customFormat="1" ht="15" customHeight="1">
      <c r="B133" s="83" t="str">
        <f>Assumptions!C134</f>
        <v>Vision Insurance</v>
      </c>
      <c r="C133" s="53"/>
      <c r="D133" s="310">
        <f t="shared" si="0"/>
        <v>0</v>
      </c>
      <c r="E133" s="310">
        <f t="shared" si="1"/>
        <v>0</v>
      </c>
      <c r="F133" s="310">
        <f t="shared" si="2"/>
        <v>0</v>
      </c>
      <c r="G133" s="310">
        <f t="shared" si="3"/>
        <v>0</v>
      </c>
      <c r="H133" s="310">
        <f t="shared" si="4"/>
        <v>0</v>
      </c>
      <c r="I133" s="80"/>
      <c r="J133" s="287"/>
      <c r="K133" s="52"/>
      <c r="L133" s="52"/>
      <c r="M133" s="52"/>
      <c r="N133" s="52"/>
      <c r="O133" s="52"/>
      <c r="P133" s="52"/>
      <c r="Q133" s="52"/>
      <c r="R133" s="52"/>
      <c r="S133" s="52"/>
    </row>
    <row r="134" spans="2:19" s="54" customFormat="1" ht="15" customHeight="1">
      <c r="B134" s="83" t="str">
        <f>Assumptions!C135</f>
        <v>Life Insurance</v>
      </c>
      <c r="C134" s="53"/>
      <c r="D134" s="310">
        <f t="shared" si="0"/>
        <v>0</v>
      </c>
      <c r="E134" s="310">
        <f t="shared" si="1"/>
        <v>0</v>
      </c>
      <c r="F134" s="310">
        <f t="shared" si="2"/>
        <v>0</v>
      </c>
      <c r="G134" s="310">
        <f t="shared" si="3"/>
        <v>0</v>
      </c>
      <c r="H134" s="310">
        <f t="shared" si="4"/>
        <v>0</v>
      </c>
      <c r="I134" s="80"/>
      <c r="J134" s="287"/>
      <c r="K134" s="52"/>
      <c r="L134" s="52"/>
      <c r="M134" s="52"/>
      <c r="N134" s="52"/>
      <c r="O134" s="52"/>
      <c r="P134" s="52"/>
      <c r="Q134" s="52"/>
      <c r="R134" s="52"/>
      <c r="S134" s="52"/>
    </row>
    <row r="135" spans="2:19" s="54" customFormat="1" ht="15" customHeight="1">
      <c r="B135" s="83" t="str">
        <f>Assumptions!C136</f>
        <v>Retirement Contribution</v>
      </c>
      <c r="C135" s="53"/>
      <c r="D135" s="310">
        <f t="shared" si="0"/>
        <v>0</v>
      </c>
      <c r="E135" s="310">
        <f t="shared" si="1"/>
        <v>0</v>
      </c>
      <c r="F135" s="310">
        <f t="shared" si="2"/>
        <v>0</v>
      </c>
      <c r="G135" s="310">
        <f t="shared" si="3"/>
        <v>0</v>
      </c>
      <c r="H135" s="310">
        <f t="shared" si="4"/>
        <v>0</v>
      </c>
      <c r="I135" s="80"/>
      <c r="J135" s="287"/>
      <c r="K135" s="52"/>
      <c r="L135" s="52"/>
      <c r="M135" s="52"/>
      <c r="N135" s="52"/>
      <c r="O135" s="52"/>
      <c r="P135" s="52"/>
      <c r="Q135" s="52"/>
      <c r="R135" s="52"/>
      <c r="S135" s="52"/>
    </row>
    <row r="136" spans="2:19" s="54" customFormat="1" ht="15" customHeight="1">
      <c r="B136" s="83" t="str">
        <f>Assumptions!C137</f>
        <v>Custom Fringe #1</v>
      </c>
      <c r="C136" s="53"/>
      <c r="D136" s="310">
        <f t="shared" si="0"/>
        <v>0</v>
      </c>
      <c r="E136" s="310">
        <f t="shared" si="1"/>
        <v>0</v>
      </c>
      <c r="F136" s="310">
        <f t="shared" si="2"/>
        <v>0</v>
      </c>
      <c r="G136" s="310">
        <f t="shared" si="3"/>
        <v>0</v>
      </c>
      <c r="H136" s="310">
        <f t="shared" si="4"/>
        <v>0</v>
      </c>
      <c r="I136" s="80"/>
      <c r="J136" s="287"/>
      <c r="K136" s="52"/>
      <c r="L136" s="52"/>
      <c r="M136" s="52"/>
      <c r="N136" s="52"/>
      <c r="O136" s="52"/>
      <c r="P136" s="52"/>
      <c r="Q136" s="52"/>
      <c r="R136" s="52"/>
      <c r="S136" s="52"/>
    </row>
    <row r="137" spans="2:19" s="54" customFormat="1" ht="15" customHeight="1">
      <c r="B137" s="83" t="str">
        <f>Assumptions!C138</f>
        <v>Custom Fringe #2</v>
      </c>
      <c r="C137" s="53"/>
      <c r="D137" s="310">
        <f t="shared" si="0"/>
        <v>0</v>
      </c>
      <c r="E137" s="310">
        <f t="shared" si="1"/>
        <v>0</v>
      </c>
      <c r="F137" s="310">
        <f t="shared" si="2"/>
        <v>0</v>
      </c>
      <c r="G137" s="310">
        <f t="shared" si="3"/>
        <v>0</v>
      </c>
      <c r="H137" s="310">
        <f t="shared" si="4"/>
        <v>0</v>
      </c>
      <c r="I137" s="80"/>
      <c r="J137" s="287"/>
      <c r="K137" s="52"/>
      <c r="L137" s="52"/>
      <c r="M137" s="52"/>
      <c r="N137" s="52"/>
      <c r="O137" s="52"/>
      <c r="P137" s="52"/>
      <c r="Q137" s="52"/>
      <c r="R137" s="52"/>
      <c r="S137" s="52"/>
    </row>
    <row r="138" spans="2:19" s="54" customFormat="1" ht="15" customHeight="1" thickBot="1">
      <c r="B138" s="81" t="str">
        <f>Assumptions!C139</f>
        <v>TOTAL PAYROLL TAXES AND BENEFITS</v>
      </c>
      <c r="C138" s="53"/>
      <c r="D138" s="307">
        <f>SUM(D125:D137)</f>
        <v>0</v>
      </c>
      <c r="E138" s="307">
        <f>SUM(E125:E137)</f>
        <v>0</v>
      </c>
      <c r="F138" s="307">
        <f>SUM(F125:F137)</f>
        <v>0</v>
      </c>
      <c r="G138" s="307">
        <f>SUM(G125:G137)</f>
        <v>0</v>
      </c>
      <c r="H138" s="307">
        <f>SUM(H125:H137)</f>
        <v>0</v>
      </c>
      <c r="I138" s="80"/>
      <c r="J138" s="287"/>
      <c r="K138" s="52"/>
      <c r="L138" s="52"/>
      <c r="M138" s="52"/>
      <c r="N138" s="52"/>
      <c r="O138" s="52"/>
      <c r="P138" s="52"/>
      <c r="Q138" s="52"/>
      <c r="R138" s="52"/>
      <c r="S138" s="52"/>
    </row>
    <row r="139" spans="2:19" s="54" customFormat="1" ht="6" customHeight="1" thickTop="1">
      <c r="B139" s="81"/>
      <c r="C139" s="53"/>
      <c r="D139" s="314"/>
      <c r="E139" s="314"/>
      <c r="F139" s="314"/>
      <c r="G139" s="314"/>
      <c r="H139" s="314"/>
      <c r="I139" s="80"/>
      <c r="J139" s="287"/>
      <c r="K139" s="52"/>
      <c r="L139" s="52"/>
      <c r="M139" s="52"/>
      <c r="N139" s="52"/>
      <c r="O139" s="52"/>
      <c r="P139" s="52"/>
      <c r="Q139" s="52"/>
      <c r="R139" s="52"/>
      <c r="S139" s="52"/>
    </row>
    <row r="140" spans="2:19" s="162" customFormat="1" ht="15" customHeight="1" thickBot="1">
      <c r="B140" s="338" t="str">
        <f>Assumptions!C141</f>
        <v>TOTAL PERSONNEL, TAX &amp; BENEFIT EXPENSES</v>
      </c>
      <c r="C140" s="64"/>
      <c r="D140" s="335">
        <f>D122+D138</f>
        <v>0</v>
      </c>
      <c r="E140" s="335">
        <f>E122+E138</f>
        <v>0</v>
      </c>
      <c r="F140" s="335">
        <f>F122+F138</f>
        <v>0</v>
      </c>
      <c r="G140" s="335">
        <f>G122+G138</f>
        <v>0</v>
      </c>
      <c r="H140" s="335">
        <f>H122+H138</f>
        <v>0</v>
      </c>
      <c r="I140" s="336"/>
      <c r="J140" s="282"/>
      <c r="K140" s="341"/>
      <c r="L140" s="341"/>
      <c r="M140" s="341"/>
      <c r="N140" s="341"/>
      <c r="O140" s="341"/>
      <c r="P140" s="341"/>
      <c r="Q140" s="341"/>
      <c r="R140" s="341"/>
      <c r="S140" s="341"/>
    </row>
    <row r="141" spans="2:19" s="54" customFormat="1" ht="6" customHeight="1" thickTop="1">
      <c r="B141" s="81"/>
      <c r="C141" s="53"/>
      <c r="D141" s="308"/>
      <c r="E141" s="308"/>
      <c r="F141" s="308"/>
      <c r="G141" s="308"/>
      <c r="H141" s="308"/>
      <c r="I141" s="80"/>
      <c r="J141" s="287"/>
      <c r="K141" s="52"/>
      <c r="L141" s="52"/>
      <c r="M141" s="52"/>
      <c r="N141" s="52"/>
      <c r="O141" s="52"/>
      <c r="P141" s="52"/>
      <c r="Q141" s="52"/>
      <c r="R141" s="52"/>
      <c r="S141" s="52"/>
    </row>
    <row r="142" spans="2:19" s="54" customFormat="1" ht="15" customHeight="1">
      <c r="B142" s="81" t="str">
        <f>Assumptions!C143</f>
        <v>CONTRACTED SERVICES</v>
      </c>
      <c r="C142" s="53"/>
      <c r="D142" s="310"/>
      <c r="E142" s="310"/>
      <c r="F142" s="310"/>
      <c r="G142" s="310"/>
      <c r="H142" s="310"/>
      <c r="I142" s="80"/>
      <c r="J142" s="287"/>
      <c r="K142" s="52"/>
      <c r="L142" s="52"/>
      <c r="M142" s="52"/>
      <c r="N142" s="52"/>
      <c r="O142" s="52"/>
      <c r="P142" s="52"/>
      <c r="Q142" s="52"/>
      <c r="R142" s="52"/>
      <c r="S142" s="52"/>
    </row>
    <row r="143" spans="2:19" s="54" customFormat="1" ht="15" customHeight="1">
      <c r="B143" s="83" t="str">
        <f>Assumptions!C144</f>
        <v xml:space="preserve">Accounting / Audit </v>
      </c>
      <c r="C143" s="97"/>
      <c r="D143" s="306">
        <f t="shared" ref="D143:D154" si="5">IF(VLOOKUP($B143,X_Assumptions,3,FALSE)=1,SUM(VLOOKUP($B143,X_AssumptionsInc,3,FALSE)*VLOOKUP("Total Enrollment",X_Enrollment,2,FALSE)),
IF(VLOOKUP($B143,X_Assumptions,3,FALSE)=2,SUM(VLOOKUP($B143,X_AssumptionsInc,3,FALSE)*X_Staffing_YR1_FTE),VLOOKUP($B143,X_AssumptionsInc,3,FALSE)))</f>
        <v>0</v>
      </c>
      <c r="E143" s="306">
        <f t="shared" ref="E143:E154" si="6">IF(VLOOKUP($B143,X_Assumptions,3,FALSE)=1,SUM(VLOOKUP($B143,X_AssumptionsInc,4,FALSE)*VLOOKUP("Total Enrollment",X_Enrollment,3,FALSE)),
IF(VLOOKUP($B143,X_Assumptions,3,FALSE)=2,SUM(VLOOKUP($B143,X_AssumptionsInc,4,FALSE)*X_Staffing_YR2_FTE),VLOOKUP($B143,X_AssumptionsInc,4,FALSE)))</f>
        <v>0</v>
      </c>
      <c r="F143" s="306">
        <f t="shared" ref="F143:F154" si="7">IF(VLOOKUP($B143,X_Assumptions,3,FALSE)=1,SUM(VLOOKUP($B143,X_AssumptionsInc,5,FALSE)*VLOOKUP("Total Enrollment",X_Enrollment,4,FALSE)),
IF(VLOOKUP($B143,X_Assumptions,3,FALSE)=2,SUM(VLOOKUP($B143,X_AssumptionsInc,5,FALSE)*X_Staffing_YR3_FTE),VLOOKUP($B143,X_AssumptionsInc,5,FALSE)))</f>
        <v>0</v>
      </c>
      <c r="G143" s="306">
        <f t="shared" ref="G143:G154" si="8">IF(VLOOKUP($B143,X_Assumptions,3,FALSE)=1,SUM(VLOOKUP($B143,X_AssumptionsInc,6,FALSE)*VLOOKUP("Total Enrollment",X_Enrollment,5,FALSE)),
IF(VLOOKUP($B143,X_Assumptions,3,FALSE)=2,SUM(VLOOKUP($B143,X_AssumptionsInc,6,FALSE)*X_Staffing_YR4_FTE),VLOOKUP($B143,X_AssumptionsInc,6,FALSE)))</f>
        <v>0</v>
      </c>
      <c r="H143" s="306">
        <f t="shared" ref="H143:H154" si="9">IF(VLOOKUP($B143,X_Assumptions,3,FALSE)=1,SUM(VLOOKUP($B143,X_AssumptionsInc,7,FALSE)*VLOOKUP("Total Enrollment",X_Enrollment,6,FALSE)),
IF(VLOOKUP($B143,X_Assumptions,3,FALSE)=2,SUM(VLOOKUP($B143,X_AssumptionsInc,7,FALSE)*X_Staffing_YR5_FTE),VLOOKUP($B143,X_AssumptionsInc,7,FALSE)))</f>
        <v>0</v>
      </c>
      <c r="I143" s="80"/>
      <c r="J143" s="287"/>
      <c r="K143" s="52"/>
      <c r="L143" s="52"/>
      <c r="M143" s="52"/>
      <c r="N143" s="52"/>
      <c r="O143" s="52"/>
      <c r="P143" s="52"/>
      <c r="Q143" s="52"/>
      <c r="R143" s="52"/>
      <c r="S143" s="52"/>
    </row>
    <row r="144" spans="2:19" s="54" customFormat="1" ht="15" customHeight="1">
      <c r="B144" s="83" t="str">
        <f>Assumptions!C145</f>
        <v>Legal</v>
      </c>
      <c r="C144" s="97"/>
      <c r="D144" s="306">
        <f t="shared" si="5"/>
        <v>0</v>
      </c>
      <c r="E144" s="306">
        <f t="shared" si="6"/>
        <v>0</v>
      </c>
      <c r="F144" s="306">
        <f t="shared" si="7"/>
        <v>0</v>
      </c>
      <c r="G144" s="306">
        <f t="shared" si="8"/>
        <v>0</v>
      </c>
      <c r="H144" s="306">
        <f t="shared" si="9"/>
        <v>0</v>
      </c>
      <c r="I144" s="80"/>
      <c r="J144" s="287"/>
      <c r="K144" s="52"/>
      <c r="L144" s="52"/>
      <c r="M144" s="52"/>
      <c r="N144" s="52"/>
      <c r="O144" s="52"/>
      <c r="P144" s="52"/>
      <c r="Q144" s="52"/>
      <c r="R144" s="52"/>
      <c r="S144" s="52"/>
    </row>
    <row r="145" spans="2:19" s="54" customFormat="1" ht="15" customHeight="1">
      <c r="B145" s="204" t="str">
        <f>Assumptions!C146</f>
        <v>Oversight Fee (3%)</v>
      </c>
      <c r="C145" s="97"/>
      <c r="D145" s="306">
        <f>SUM(D32,D33,D38,D39,D40,D41,D43)*0.03</f>
        <v>0</v>
      </c>
      <c r="E145" s="306">
        <f t="shared" ref="E145:H145" si="10">SUM(E32,E33,E38,E39,E40,E41,E43)*0.03</f>
        <v>0</v>
      </c>
      <c r="F145" s="306">
        <f t="shared" si="10"/>
        <v>0</v>
      </c>
      <c r="G145" s="306">
        <f t="shared" si="10"/>
        <v>0</v>
      </c>
      <c r="H145" s="306">
        <f t="shared" si="10"/>
        <v>0</v>
      </c>
      <c r="I145" s="80"/>
      <c r="J145" s="287"/>
      <c r="K145" s="52"/>
      <c r="L145" s="52"/>
      <c r="M145" s="52"/>
      <c r="N145" s="52"/>
      <c r="O145" s="52"/>
      <c r="P145" s="52"/>
      <c r="Q145" s="52"/>
      <c r="R145" s="52"/>
      <c r="S145" s="52"/>
    </row>
    <row r="146" spans="2:19" s="54" customFormat="1" ht="15" customHeight="1">
      <c r="B146" s="83" t="str">
        <f>Assumptions!C147</f>
        <v>Management Company Fee</v>
      </c>
      <c r="C146" s="97"/>
      <c r="D146" s="306">
        <f t="shared" si="5"/>
        <v>0</v>
      </c>
      <c r="E146" s="306">
        <f t="shared" si="6"/>
        <v>0</v>
      </c>
      <c r="F146" s="306">
        <f t="shared" si="7"/>
        <v>0</v>
      </c>
      <c r="G146" s="306">
        <f t="shared" si="8"/>
        <v>0</v>
      </c>
      <c r="H146" s="306">
        <f t="shared" si="9"/>
        <v>0</v>
      </c>
      <c r="I146" s="80"/>
      <c r="J146" s="287"/>
      <c r="K146" s="52"/>
      <c r="L146" s="52"/>
      <c r="M146" s="52"/>
      <c r="N146" s="52"/>
      <c r="O146" s="52"/>
      <c r="P146" s="52"/>
      <c r="Q146" s="52"/>
      <c r="R146" s="52"/>
      <c r="S146" s="52"/>
    </row>
    <row r="147" spans="2:19" s="54" customFormat="1" ht="15" customHeight="1">
      <c r="B147" s="83" t="str">
        <f>Assumptions!C148</f>
        <v>Nurse Services</v>
      </c>
      <c r="C147" s="97"/>
      <c r="D147" s="306">
        <f t="shared" si="5"/>
        <v>0</v>
      </c>
      <c r="E147" s="306">
        <f t="shared" si="6"/>
        <v>0</v>
      </c>
      <c r="F147" s="306">
        <f t="shared" si="7"/>
        <v>0</v>
      </c>
      <c r="G147" s="306">
        <f t="shared" si="8"/>
        <v>0</v>
      </c>
      <c r="H147" s="306">
        <f t="shared" si="9"/>
        <v>0</v>
      </c>
      <c r="I147" s="80"/>
      <c r="J147" s="287"/>
      <c r="K147" s="52"/>
      <c r="L147" s="52"/>
      <c r="M147" s="52"/>
      <c r="N147" s="52"/>
      <c r="O147" s="52"/>
      <c r="P147" s="52"/>
      <c r="Q147" s="52"/>
      <c r="R147" s="52"/>
      <c r="S147" s="52"/>
    </row>
    <row r="148" spans="2:19" s="54" customFormat="1" ht="15" customHeight="1">
      <c r="B148" s="83" t="str">
        <f>Assumptions!C149</f>
        <v>Food Service / School Lunch</v>
      </c>
      <c r="C148" s="97"/>
      <c r="D148" s="306">
        <f t="shared" si="5"/>
        <v>0</v>
      </c>
      <c r="E148" s="306">
        <f t="shared" si="6"/>
        <v>0</v>
      </c>
      <c r="F148" s="306">
        <f t="shared" si="7"/>
        <v>0</v>
      </c>
      <c r="G148" s="306">
        <f t="shared" si="8"/>
        <v>0</v>
      </c>
      <c r="H148" s="306">
        <f t="shared" si="9"/>
        <v>0</v>
      </c>
      <c r="I148" s="80"/>
      <c r="J148" s="287"/>
      <c r="K148" s="52"/>
      <c r="L148" s="52"/>
      <c r="M148" s="52"/>
      <c r="N148" s="52"/>
      <c r="O148" s="52"/>
      <c r="P148" s="52"/>
      <c r="Q148" s="52"/>
      <c r="R148" s="52"/>
      <c r="S148" s="52"/>
    </row>
    <row r="149" spans="2:19" s="54" customFormat="1" ht="15" customHeight="1">
      <c r="B149" s="83" t="str">
        <f>Assumptions!C150</f>
        <v>Payroll Services</v>
      </c>
      <c r="C149" s="97"/>
      <c r="D149" s="306">
        <f t="shared" si="5"/>
        <v>0</v>
      </c>
      <c r="E149" s="306">
        <f t="shared" si="6"/>
        <v>0</v>
      </c>
      <c r="F149" s="306">
        <f t="shared" si="7"/>
        <v>0</v>
      </c>
      <c r="G149" s="306">
        <f t="shared" si="8"/>
        <v>0</v>
      </c>
      <c r="H149" s="306">
        <f t="shared" si="9"/>
        <v>0</v>
      </c>
      <c r="I149" s="80"/>
      <c r="J149" s="287"/>
      <c r="K149" s="52"/>
      <c r="L149" s="52"/>
      <c r="M149" s="52"/>
      <c r="N149" s="52"/>
      <c r="O149" s="52"/>
      <c r="P149" s="52"/>
      <c r="Q149" s="52"/>
      <c r="R149" s="52"/>
      <c r="S149" s="52"/>
    </row>
    <row r="150" spans="2:19" s="54" customFormat="1" ht="15" customHeight="1">
      <c r="B150" s="83" t="str">
        <f>Assumptions!C151</f>
        <v>Special Ed Services</v>
      </c>
      <c r="C150" s="97"/>
      <c r="D150" s="306">
        <f t="shared" si="5"/>
        <v>0</v>
      </c>
      <c r="E150" s="306">
        <f t="shared" si="6"/>
        <v>0</v>
      </c>
      <c r="F150" s="306">
        <f t="shared" si="7"/>
        <v>0</v>
      </c>
      <c r="G150" s="306">
        <f t="shared" si="8"/>
        <v>0</v>
      </c>
      <c r="H150" s="306">
        <f t="shared" si="9"/>
        <v>0</v>
      </c>
      <c r="I150" s="80"/>
      <c r="J150" s="287"/>
      <c r="K150" s="52"/>
      <c r="L150" s="52"/>
      <c r="M150" s="52"/>
      <c r="N150" s="52"/>
      <c r="O150" s="52"/>
      <c r="P150" s="52"/>
      <c r="Q150" s="52"/>
      <c r="R150" s="52"/>
      <c r="S150" s="52"/>
    </row>
    <row r="151" spans="2:19" s="54" customFormat="1" ht="15" customHeight="1">
      <c r="B151" s="83" t="str">
        <f>Assumptions!C152</f>
        <v>Titlement Services (i.e. Title I)</v>
      </c>
      <c r="C151" s="53"/>
      <c r="D151" s="306">
        <f t="shared" si="5"/>
        <v>0</v>
      </c>
      <c r="E151" s="306">
        <f t="shared" si="6"/>
        <v>0</v>
      </c>
      <c r="F151" s="306">
        <f t="shared" si="7"/>
        <v>0</v>
      </c>
      <c r="G151" s="306">
        <f t="shared" si="8"/>
        <v>0</v>
      </c>
      <c r="H151" s="306">
        <f t="shared" si="9"/>
        <v>0</v>
      </c>
      <c r="I151" s="80"/>
      <c r="J151" s="287"/>
      <c r="K151" s="52"/>
      <c r="L151" s="52"/>
      <c r="M151" s="52"/>
      <c r="N151" s="52"/>
      <c r="O151" s="52"/>
      <c r="P151" s="52"/>
      <c r="Q151" s="52"/>
      <c r="R151" s="52"/>
      <c r="S151" s="52"/>
    </row>
    <row r="152" spans="2:19" s="54" customFormat="1" ht="15" customHeight="1">
      <c r="B152" s="83" t="str">
        <f>Assumptions!C153</f>
        <v>Custom Contracted Services #1</v>
      </c>
      <c r="C152" s="53"/>
      <c r="D152" s="306">
        <f t="shared" si="5"/>
        <v>0</v>
      </c>
      <c r="E152" s="306">
        <f t="shared" si="6"/>
        <v>0</v>
      </c>
      <c r="F152" s="306">
        <f t="shared" si="7"/>
        <v>0</v>
      </c>
      <c r="G152" s="306">
        <f t="shared" si="8"/>
        <v>0</v>
      </c>
      <c r="H152" s="306">
        <f t="shared" si="9"/>
        <v>0</v>
      </c>
      <c r="I152" s="80"/>
      <c r="J152" s="287"/>
      <c r="K152" s="52"/>
      <c r="L152" s="52"/>
      <c r="M152" s="52"/>
      <c r="N152" s="52"/>
      <c r="O152" s="52"/>
      <c r="P152" s="52"/>
      <c r="Q152" s="52"/>
      <c r="R152" s="52"/>
      <c r="S152" s="52"/>
    </row>
    <row r="153" spans="2:19" s="54" customFormat="1" ht="15" customHeight="1">
      <c r="B153" s="83" t="str">
        <f>Assumptions!C154</f>
        <v>Custom Contracted Services #2</v>
      </c>
      <c r="C153" s="53"/>
      <c r="D153" s="306">
        <f t="shared" si="5"/>
        <v>0</v>
      </c>
      <c r="E153" s="306">
        <f t="shared" si="6"/>
        <v>0</v>
      </c>
      <c r="F153" s="306">
        <f t="shared" si="7"/>
        <v>0</v>
      </c>
      <c r="G153" s="306">
        <f t="shared" si="8"/>
        <v>0</v>
      </c>
      <c r="H153" s="306">
        <f t="shared" si="9"/>
        <v>0</v>
      </c>
      <c r="I153" s="80"/>
      <c r="J153" s="287"/>
      <c r="K153" s="52"/>
      <c r="L153" s="52"/>
      <c r="M153" s="52"/>
      <c r="N153" s="52"/>
      <c r="O153" s="52"/>
      <c r="P153" s="52"/>
      <c r="Q153" s="52"/>
      <c r="R153" s="52"/>
      <c r="S153" s="52"/>
    </row>
    <row r="154" spans="2:19" s="54" customFormat="1" ht="15" customHeight="1">
      <c r="B154" s="83" t="str">
        <f>Assumptions!C155</f>
        <v>Custom Contracted Services #3</v>
      </c>
      <c r="C154" s="53"/>
      <c r="D154" s="306">
        <f t="shared" si="5"/>
        <v>0</v>
      </c>
      <c r="E154" s="306">
        <f t="shared" si="6"/>
        <v>0</v>
      </c>
      <c r="F154" s="306">
        <f t="shared" si="7"/>
        <v>0</v>
      </c>
      <c r="G154" s="306">
        <f t="shared" si="8"/>
        <v>0</v>
      </c>
      <c r="H154" s="306">
        <f t="shared" si="9"/>
        <v>0</v>
      </c>
      <c r="I154" s="80"/>
      <c r="J154" s="287"/>
      <c r="K154" s="52"/>
      <c r="L154" s="52"/>
      <c r="M154" s="52"/>
      <c r="N154" s="52"/>
      <c r="O154" s="52"/>
      <c r="P154" s="52"/>
      <c r="Q154" s="52"/>
      <c r="R154" s="52"/>
      <c r="S154" s="52"/>
    </row>
    <row r="155" spans="2:19" s="54" customFormat="1" ht="15" customHeight="1" thickBot="1">
      <c r="B155" s="81" t="str">
        <f>Assumptions!C156</f>
        <v>TOTAL CONTRACTED SERVICES</v>
      </c>
      <c r="C155" s="53"/>
      <c r="D155" s="307">
        <f>SUM(D143:D154)</f>
        <v>0</v>
      </c>
      <c r="E155" s="307">
        <f>SUM(E143:E154)</f>
        <v>0</v>
      </c>
      <c r="F155" s="307">
        <f>SUM(F143:F154)</f>
        <v>0</v>
      </c>
      <c r="G155" s="307">
        <f>SUM(G143:G154)</f>
        <v>0</v>
      </c>
      <c r="H155" s="307">
        <f>SUM(H143:H154)</f>
        <v>0</v>
      </c>
      <c r="I155" s="80"/>
      <c r="J155" s="287"/>
      <c r="K155" s="52"/>
      <c r="L155" s="52"/>
      <c r="M155" s="52"/>
      <c r="N155" s="52"/>
      <c r="O155" s="52"/>
      <c r="P155" s="52"/>
      <c r="Q155" s="52"/>
      <c r="R155" s="52"/>
      <c r="S155" s="52"/>
    </row>
    <row r="156" spans="2:19" s="54" customFormat="1" ht="6" customHeight="1" thickTop="1">
      <c r="B156" s="81"/>
      <c r="C156" s="53"/>
      <c r="D156" s="314"/>
      <c r="E156" s="314"/>
      <c r="F156" s="314"/>
      <c r="G156" s="314"/>
      <c r="H156" s="314"/>
      <c r="I156" s="80"/>
      <c r="J156" s="287"/>
      <c r="K156" s="52"/>
      <c r="L156" s="52"/>
      <c r="M156" s="52"/>
      <c r="N156" s="52"/>
      <c r="O156" s="52"/>
      <c r="P156" s="52"/>
      <c r="Q156" s="52"/>
      <c r="R156" s="52"/>
      <c r="S156" s="52"/>
    </row>
    <row r="157" spans="2:19" s="54" customFormat="1" ht="15" customHeight="1">
      <c r="B157" s="81" t="str">
        <f>Assumptions!C158</f>
        <v>SCHOOL OPERATIONS</v>
      </c>
      <c r="C157" s="53"/>
      <c r="D157" s="310"/>
      <c r="E157" s="310"/>
      <c r="F157" s="310"/>
      <c r="G157" s="310"/>
      <c r="H157" s="310"/>
      <c r="I157" s="80"/>
      <c r="J157" s="287"/>
      <c r="K157" s="52"/>
      <c r="L157" s="52"/>
      <c r="M157" s="52"/>
      <c r="N157" s="52"/>
      <c r="O157" s="52"/>
      <c r="P157" s="52"/>
      <c r="Q157" s="52"/>
      <c r="R157" s="52"/>
      <c r="S157" s="52"/>
    </row>
    <row r="158" spans="2:19" s="54" customFormat="1" ht="15" customHeight="1">
      <c r="B158" s="83" t="str">
        <f>Assumptions!C159</f>
        <v>Board Expenses</v>
      </c>
      <c r="C158" s="97"/>
      <c r="D158" s="306">
        <f t="shared" ref="D158:D179" si="11">IF(VLOOKUP($B158,X_Assumptions,3,FALSE)=1,SUM(VLOOKUP($B158,X_AssumptionsInc,3,FALSE)*VLOOKUP("Total Enrollment",X_Enrollment,2,FALSE)),
IF(VLOOKUP($B158,X_Assumptions,3,FALSE)=2,SUM(VLOOKUP($B158,X_AssumptionsInc,3,FALSE)*X_Staffing_YR1_FTE),VLOOKUP($B158,X_AssumptionsInc,3,FALSE)))</f>
        <v>0</v>
      </c>
      <c r="E158" s="306">
        <f t="shared" ref="E158:E179" si="12">IF(VLOOKUP($B158,X_Assumptions,3,FALSE)=1,SUM(VLOOKUP($B158,X_AssumptionsInc,4,FALSE)*VLOOKUP("Total Enrollment",X_Enrollment,3,FALSE)),
IF(VLOOKUP($B158,X_Assumptions,3,FALSE)=2,SUM(VLOOKUP($B158,X_AssumptionsInc,4,FALSE)*X_Staffing_YR2_FTE),VLOOKUP($B158,X_AssumptionsInc,4,FALSE)))</f>
        <v>0</v>
      </c>
      <c r="F158" s="306">
        <f t="shared" ref="F158:F179" si="13">IF(VLOOKUP($B158,X_Assumptions,3,FALSE)=1,SUM(VLOOKUP($B158,X_AssumptionsInc,5,FALSE)*VLOOKUP("Total Enrollment",X_Enrollment,4,FALSE)),
IF(VLOOKUP($B158,X_Assumptions,3,FALSE)=2,SUM(VLOOKUP($B158,X_AssumptionsInc,5,FALSE)*X_Staffing_YR3_FTE),VLOOKUP($B158,X_AssumptionsInc,5,FALSE)))</f>
        <v>0</v>
      </c>
      <c r="G158" s="306">
        <f t="shared" ref="G158:G179" si="14">IF(VLOOKUP($B158,X_Assumptions,3,FALSE)=1,SUM(VLOOKUP($B158,X_AssumptionsInc,6,FALSE)*VLOOKUP("Total Enrollment",X_Enrollment,5,FALSE)),
IF(VLOOKUP($B158,X_Assumptions,3,FALSE)=2,SUM(VLOOKUP($B158,X_AssumptionsInc,6,FALSE)*X_Staffing_YR4_FTE),VLOOKUP($B158,X_AssumptionsInc,6,FALSE)))</f>
        <v>0</v>
      </c>
      <c r="H158" s="306">
        <f t="shared" ref="H158:H179" si="15">IF(VLOOKUP($B158,X_Assumptions,3,FALSE)=1,SUM(VLOOKUP($B158,X_AssumptionsInc,7,FALSE)*VLOOKUP("Total Enrollment",X_Enrollment,6,FALSE)),
IF(VLOOKUP($B158,X_Assumptions,3,FALSE)=2,SUM(VLOOKUP($B158,X_AssumptionsInc,7,FALSE)*X_Staffing_YR5_FTE),VLOOKUP($B158,X_AssumptionsInc,7,FALSE)))</f>
        <v>0</v>
      </c>
      <c r="I158" s="80"/>
      <c r="J158" s="287"/>
      <c r="K158" s="52"/>
      <c r="L158" s="52"/>
      <c r="M158" s="52"/>
      <c r="N158" s="52"/>
      <c r="O158" s="52"/>
      <c r="P158" s="52"/>
      <c r="Q158" s="52"/>
      <c r="R158" s="52"/>
      <c r="S158" s="52"/>
    </row>
    <row r="159" spans="2:19" s="54" customFormat="1" ht="15" customHeight="1">
      <c r="B159" s="83" t="str">
        <f>Assumptions!C160</f>
        <v>Classroom / Teaching Supplies &amp; Materials</v>
      </c>
      <c r="C159" s="97"/>
      <c r="D159" s="306">
        <f t="shared" si="11"/>
        <v>0</v>
      </c>
      <c r="E159" s="306">
        <f t="shared" si="12"/>
        <v>0</v>
      </c>
      <c r="F159" s="306">
        <f t="shared" si="13"/>
        <v>0</v>
      </c>
      <c r="G159" s="306">
        <f t="shared" si="14"/>
        <v>0</v>
      </c>
      <c r="H159" s="306">
        <f t="shared" si="15"/>
        <v>0</v>
      </c>
      <c r="I159" s="80"/>
      <c r="J159" s="287"/>
      <c r="K159" s="52"/>
      <c r="L159" s="52"/>
      <c r="M159" s="52"/>
      <c r="N159" s="52"/>
      <c r="O159" s="52"/>
      <c r="P159" s="52"/>
      <c r="Q159" s="52"/>
      <c r="R159" s="52"/>
      <c r="S159" s="52"/>
    </row>
    <row r="160" spans="2:19" s="54" customFormat="1" ht="15" customHeight="1">
      <c r="B160" s="83" t="str">
        <f>Assumptions!C161</f>
        <v>Special Ed Supplies &amp; Materials</v>
      </c>
      <c r="C160" s="53"/>
      <c r="D160" s="306">
        <f t="shared" si="11"/>
        <v>0</v>
      </c>
      <c r="E160" s="306">
        <f t="shared" si="12"/>
        <v>0</v>
      </c>
      <c r="F160" s="306">
        <f t="shared" si="13"/>
        <v>0</v>
      </c>
      <c r="G160" s="306">
        <f t="shared" si="14"/>
        <v>0</v>
      </c>
      <c r="H160" s="306">
        <f t="shared" si="15"/>
        <v>0</v>
      </c>
      <c r="I160" s="80"/>
      <c r="J160" s="287"/>
      <c r="K160" s="52"/>
      <c r="L160" s="52"/>
      <c r="M160" s="52"/>
      <c r="N160" s="52"/>
      <c r="O160" s="52"/>
      <c r="P160" s="52"/>
      <c r="Q160" s="52"/>
      <c r="R160" s="52"/>
      <c r="S160" s="52"/>
    </row>
    <row r="161" spans="2:19" s="54" customFormat="1" ht="15" customHeight="1">
      <c r="B161" s="83" t="str">
        <f>Assumptions!C162</f>
        <v>Textbooks / Workbooks</v>
      </c>
      <c r="C161" s="53"/>
      <c r="D161" s="306">
        <f t="shared" si="11"/>
        <v>0</v>
      </c>
      <c r="E161" s="306">
        <f t="shared" si="12"/>
        <v>0</v>
      </c>
      <c r="F161" s="306">
        <f t="shared" si="13"/>
        <v>0</v>
      </c>
      <c r="G161" s="306">
        <f t="shared" si="14"/>
        <v>0</v>
      </c>
      <c r="H161" s="306">
        <f t="shared" si="15"/>
        <v>0</v>
      </c>
      <c r="I161" s="80"/>
      <c r="J161" s="287"/>
      <c r="K161" s="52"/>
      <c r="L161" s="52"/>
      <c r="M161" s="52"/>
      <c r="N161" s="52"/>
      <c r="O161" s="52"/>
      <c r="P161" s="52"/>
      <c r="Q161" s="52"/>
      <c r="R161" s="52"/>
      <c r="S161" s="52"/>
    </row>
    <row r="162" spans="2:19" s="54" customFormat="1" ht="15" customHeight="1">
      <c r="B162" s="83" t="str">
        <f>Assumptions!C163</f>
        <v>Supplies &amp; Materials other</v>
      </c>
      <c r="C162" s="53"/>
      <c r="D162" s="306">
        <f t="shared" si="11"/>
        <v>0</v>
      </c>
      <c r="E162" s="306">
        <f t="shared" si="12"/>
        <v>0</v>
      </c>
      <c r="F162" s="306">
        <f t="shared" si="13"/>
        <v>0</v>
      </c>
      <c r="G162" s="306">
        <f t="shared" si="14"/>
        <v>0</v>
      </c>
      <c r="H162" s="306">
        <f t="shared" si="15"/>
        <v>0</v>
      </c>
      <c r="I162" s="80"/>
      <c r="J162" s="287"/>
      <c r="K162" s="52"/>
      <c r="L162" s="52"/>
      <c r="M162" s="52"/>
      <c r="N162" s="52"/>
      <c r="O162" s="52"/>
      <c r="P162" s="52"/>
      <c r="Q162" s="52"/>
      <c r="R162" s="52"/>
      <c r="S162" s="52"/>
    </row>
    <row r="163" spans="2:19" s="54" customFormat="1" ht="15" customHeight="1">
      <c r="B163" s="83" t="str">
        <f>Assumptions!C164</f>
        <v xml:space="preserve">Equipment / Furniture   </v>
      </c>
      <c r="C163" s="53"/>
      <c r="D163" s="306">
        <f t="shared" si="11"/>
        <v>0</v>
      </c>
      <c r="E163" s="306">
        <f t="shared" si="12"/>
        <v>0</v>
      </c>
      <c r="F163" s="306">
        <f t="shared" si="13"/>
        <v>0</v>
      </c>
      <c r="G163" s="306">
        <f t="shared" si="14"/>
        <v>0</v>
      </c>
      <c r="H163" s="306">
        <f t="shared" si="15"/>
        <v>0</v>
      </c>
      <c r="I163" s="80"/>
      <c r="J163" s="287"/>
      <c r="K163" s="52"/>
      <c r="L163" s="52"/>
      <c r="M163" s="52"/>
      <c r="N163" s="52"/>
      <c r="O163" s="52"/>
      <c r="P163" s="52"/>
      <c r="Q163" s="52"/>
      <c r="R163" s="52"/>
      <c r="S163" s="52"/>
    </row>
    <row r="164" spans="2:19" s="54" customFormat="1" ht="15" customHeight="1">
      <c r="B164" s="83" t="str">
        <f>Assumptions!C165</f>
        <v xml:space="preserve">Telephone </v>
      </c>
      <c r="C164" s="53"/>
      <c r="D164" s="306">
        <f t="shared" si="11"/>
        <v>0</v>
      </c>
      <c r="E164" s="306">
        <f t="shared" si="12"/>
        <v>0</v>
      </c>
      <c r="F164" s="306">
        <f t="shared" si="13"/>
        <v>0</v>
      </c>
      <c r="G164" s="306">
        <f t="shared" si="14"/>
        <v>0</v>
      </c>
      <c r="H164" s="306">
        <f t="shared" si="15"/>
        <v>0</v>
      </c>
      <c r="I164" s="80"/>
      <c r="J164" s="287"/>
      <c r="K164" s="52"/>
      <c r="L164" s="52"/>
      <c r="M164" s="52"/>
      <c r="N164" s="52"/>
      <c r="O164" s="52"/>
      <c r="P164" s="52"/>
      <c r="Q164" s="52"/>
      <c r="R164" s="52"/>
      <c r="S164" s="52"/>
    </row>
    <row r="165" spans="2:19" s="54" customFormat="1" ht="15" customHeight="1">
      <c r="B165" s="83" t="str">
        <f>Assumptions!C166</f>
        <v>Technology</v>
      </c>
      <c r="C165" s="53"/>
      <c r="D165" s="306">
        <f t="shared" si="11"/>
        <v>0</v>
      </c>
      <c r="E165" s="306">
        <f t="shared" si="12"/>
        <v>0</v>
      </c>
      <c r="F165" s="306">
        <f t="shared" si="13"/>
        <v>0</v>
      </c>
      <c r="G165" s="306">
        <f t="shared" si="14"/>
        <v>0</v>
      </c>
      <c r="H165" s="306">
        <f t="shared" si="15"/>
        <v>0</v>
      </c>
      <c r="I165" s="80"/>
      <c r="J165" s="287"/>
      <c r="K165" s="52"/>
      <c r="L165" s="52"/>
      <c r="M165" s="52"/>
      <c r="N165" s="52"/>
      <c r="O165" s="52"/>
      <c r="P165" s="52"/>
      <c r="Q165" s="52"/>
      <c r="R165" s="52"/>
      <c r="S165" s="52"/>
    </row>
    <row r="166" spans="2:19" s="54" customFormat="1" ht="15" customHeight="1">
      <c r="B166" s="83" t="str">
        <f>Assumptions!C167</f>
        <v>Student Testing &amp; Assessment</v>
      </c>
      <c r="C166" s="53"/>
      <c r="D166" s="306">
        <f t="shared" si="11"/>
        <v>0</v>
      </c>
      <c r="E166" s="306">
        <f t="shared" si="12"/>
        <v>0</v>
      </c>
      <c r="F166" s="306">
        <f t="shared" si="13"/>
        <v>0</v>
      </c>
      <c r="G166" s="306">
        <f t="shared" si="14"/>
        <v>0</v>
      </c>
      <c r="H166" s="306">
        <f t="shared" si="15"/>
        <v>0</v>
      </c>
      <c r="I166" s="80"/>
      <c r="J166" s="287"/>
      <c r="K166" s="52"/>
      <c r="L166" s="52"/>
      <c r="M166" s="52"/>
      <c r="N166" s="52"/>
      <c r="O166" s="52"/>
      <c r="P166" s="52"/>
      <c r="Q166" s="52"/>
      <c r="R166" s="52"/>
      <c r="S166" s="52"/>
    </row>
    <row r="167" spans="2:19" s="54" customFormat="1" ht="15" customHeight="1">
      <c r="B167" s="83" t="str">
        <f>Assumptions!C168</f>
        <v>Field Trips</v>
      </c>
      <c r="C167" s="53"/>
      <c r="D167" s="306">
        <f t="shared" si="11"/>
        <v>0</v>
      </c>
      <c r="E167" s="306">
        <f t="shared" si="12"/>
        <v>0</v>
      </c>
      <c r="F167" s="306">
        <f t="shared" si="13"/>
        <v>0</v>
      </c>
      <c r="G167" s="306">
        <f t="shared" si="14"/>
        <v>0</v>
      </c>
      <c r="H167" s="306">
        <f t="shared" si="15"/>
        <v>0</v>
      </c>
      <c r="I167" s="80"/>
      <c r="J167" s="287"/>
      <c r="K167" s="52"/>
      <c r="L167" s="52"/>
      <c r="M167" s="52"/>
      <c r="N167" s="52"/>
      <c r="O167" s="52"/>
      <c r="P167" s="52"/>
      <c r="Q167" s="52"/>
      <c r="R167" s="52"/>
      <c r="S167" s="52"/>
    </row>
    <row r="168" spans="2:19" s="54" customFormat="1" ht="15" customHeight="1">
      <c r="B168" s="83" t="str">
        <f>Assumptions!C169</f>
        <v>Transportation (student)</v>
      </c>
      <c r="C168" s="53"/>
      <c r="D168" s="306">
        <f t="shared" si="11"/>
        <v>0</v>
      </c>
      <c r="E168" s="306">
        <f t="shared" si="12"/>
        <v>0</v>
      </c>
      <c r="F168" s="306">
        <f t="shared" si="13"/>
        <v>0</v>
      </c>
      <c r="G168" s="306">
        <f t="shared" si="14"/>
        <v>0</v>
      </c>
      <c r="H168" s="306">
        <f t="shared" si="15"/>
        <v>0</v>
      </c>
      <c r="I168" s="80"/>
      <c r="J168" s="287"/>
      <c r="K168" s="52"/>
      <c r="L168" s="52"/>
      <c r="M168" s="52"/>
      <c r="N168" s="52"/>
      <c r="O168" s="52"/>
      <c r="P168" s="52"/>
      <c r="Q168" s="52"/>
      <c r="R168" s="52"/>
      <c r="S168" s="52"/>
    </row>
    <row r="169" spans="2:19" s="54" customFormat="1" ht="15" customHeight="1">
      <c r="B169" s="83" t="str">
        <f>Assumptions!C170</f>
        <v>Student Services - other</v>
      </c>
      <c r="C169" s="53"/>
      <c r="D169" s="306">
        <f t="shared" si="11"/>
        <v>0</v>
      </c>
      <c r="E169" s="306">
        <f t="shared" si="12"/>
        <v>0</v>
      </c>
      <c r="F169" s="306">
        <f t="shared" si="13"/>
        <v>0</v>
      </c>
      <c r="G169" s="306">
        <f t="shared" si="14"/>
        <v>0</v>
      </c>
      <c r="H169" s="306">
        <f t="shared" si="15"/>
        <v>0</v>
      </c>
      <c r="I169" s="80"/>
      <c r="J169" s="287"/>
      <c r="K169" s="52"/>
      <c r="L169" s="52"/>
      <c r="M169" s="52"/>
      <c r="N169" s="52"/>
      <c r="O169" s="52"/>
      <c r="P169" s="52"/>
      <c r="Q169" s="52"/>
      <c r="R169" s="52"/>
      <c r="S169" s="52"/>
    </row>
    <row r="170" spans="2:19" s="54" customFormat="1" ht="15" customHeight="1">
      <c r="B170" s="83" t="str">
        <f>Assumptions!C171</f>
        <v>Office Expense</v>
      </c>
      <c r="C170" s="97"/>
      <c r="D170" s="306">
        <f t="shared" si="11"/>
        <v>0</v>
      </c>
      <c r="E170" s="306">
        <f t="shared" si="12"/>
        <v>0</v>
      </c>
      <c r="F170" s="306">
        <f t="shared" si="13"/>
        <v>0</v>
      </c>
      <c r="G170" s="306">
        <f t="shared" si="14"/>
        <v>0</v>
      </c>
      <c r="H170" s="306">
        <f t="shared" si="15"/>
        <v>0</v>
      </c>
      <c r="I170" s="80"/>
      <c r="J170" s="287"/>
      <c r="K170" s="52"/>
      <c r="L170" s="52"/>
      <c r="M170" s="52"/>
      <c r="N170" s="52"/>
      <c r="O170" s="52"/>
      <c r="P170" s="52"/>
      <c r="Q170" s="52"/>
      <c r="R170" s="52"/>
      <c r="S170" s="52"/>
    </row>
    <row r="171" spans="2:19" s="54" customFormat="1" ht="15" customHeight="1">
      <c r="B171" s="83" t="str">
        <f>Assumptions!C172</f>
        <v>Staff Development</v>
      </c>
      <c r="C171" s="97"/>
      <c r="D171" s="306">
        <f t="shared" si="11"/>
        <v>0</v>
      </c>
      <c r="E171" s="306">
        <f t="shared" si="12"/>
        <v>0</v>
      </c>
      <c r="F171" s="306">
        <f t="shared" si="13"/>
        <v>0</v>
      </c>
      <c r="G171" s="306">
        <f t="shared" si="14"/>
        <v>0</v>
      </c>
      <c r="H171" s="306">
        <f t="shared" si="15"/>
        <v>0</v>
      </c>
      <c r="I171" s="80"/>
      <c r="J171" s="287"/>
      <c r="K171" s="52"/>
      <c r="L171" s="52"/>
      <c r="M171" s="52"/>
      <c r="N171" s="52"/>
      <c r="O171" s="52"/>
      <c r="P171" s="52"/>
      <c r="Q171" s="52"/>
      <c r="R171" s="52"/>
      <c r="S171" s="52"/>
    </row>
    <row r="172" spans="2:19" s="54" customFormat="1" ht="15" customHeight="1">
      <c r="B172" s="83" t="str">
        <f>Assumptions!C173</f>
        <v>Staff Recruitment</v>
      </c>
      <c r="C172" s="97"/>
      <c r="D172" s="306">
        <f t="shared" si="11"/>
        <v>0</v>
      </c>
      <c r="E172" s="306">
        <f t="shared" si="12"/>
        <v>0</v>
      </c>
      <c r="F172" s="306">
        <f t="shared" si="13"/>
        <v>0</v>
      </c>
      <c r="G172" s="306">
        <f t="shared" si="14"/>
        <v>0</v>
      </c>
      <c r="H172" s="306">
        <f t="shared" si="15"/>
        <v>0</v>
      </c>
      <c r="I172" s="80"/>
      <c r="J172" s="287"/>
      <c r="K172" s="52"/>
      <c r="L172" s="52"/>
      <c r="M172" s="52"/>
      <c r="N172" s="52"/>
      <c r="O172" s="52"/>
      <c r="P172" s="52"/>
      <c r="Q172" s="52"/>
      <c r="R172" s="52"/>
      <c r="S172" s="52"/>
    </row>
    <row r="173" spans="2:19" s="54" customFormat="1" ht="15" customHeight="1">
      <c r="B173" s="83" t="str">
        <f>Assumptions!C174</f>
        <v>Student Recruitment / Marketing</v>
      </c>
      <c r="C173" s="97"/>
      <c r="D173" s="306">
        <f t="shared" si="11"/>
        <v>0</v>
      </c>
      <c r="E173" s="306">
        <f t="shared" si="12"/>
        <v>0</v>
      </c>
      <c r="F173" s="306">
        <f t="shared" si="13"/>
        <v>0</v>
      </c>
      <c r="G173" s="306">
        <f t="shared" si="14"/>
        <v>0</v>
      </c>
      <c r="H173" s="306">
        <f t="shared" si="15"/>
        <v>0</v>
      </c>
      <c r="I173" s="80"/>
      <c r="J173" s="287"/>
      <c r="K173" s="52"/>
      <c r="L173" s="52"/>
      <c r="M173" s="52"/>
      <c r="N173" s="52"/>
      <c r="O173" s="52"/>
      <c r="P173" s="52"/>
      <c r="Q173" s="52"/>
      <c r="R173" s="52"/>
      <c r="S173" s="52"/>
    </row>
    <row r="174" spans="2:19" s="54" customFormat="1" ht="15" customHeight="1">
      <c r="B174" s="83" t="str">
        <f>Assumptions!C175</f>
        <v>School Meals / Lunch</v>
      </c>
      <c r="C174" s="97"/>
      <c r="D174" s="306">
        <f t="shared" si="11"/>
        <v>0</v>
      </c>
      <c r="E174" s="306">
        <f t="shared" si="12"/>
        <v>0</v>
      </c>
      <c r="F174" s="306">
        <f t="shared" si="13"/>
        <v>0</v>
      </c>
      <c r="G174" s="306">
        <f t="shared" si="14"/>
        <v>0</v>
      </c>
      <c r="H174" s="306">
        <f t="shared" si="15"/>
        <v>0</v>
      </c>
      <c r="I174" s="80"/>
      <c r="J174" s="287"/>
      <c r="K174" s="52"/>
      <c r="L174" s="52"/>
      <c r="M174" s="52"/>
      <c r="N174" s="52"/>
      <c r="O174" s="52"/>
      <c r="P174" s="52"/>
      <c r="Q174" s="52"/>
      <c r="R174" s="52"/>
      <c r="S174" s="52"/>
    </row>
    <row r="175" spans="2:19" s="54" customFormat="1" ht="15" customHeight="1">
      <c r="B175" s="83" t="str">
        <f>Assumptions!C176</f>
        <v>Travel (Staff)</v>
      </c>
      <c r="C175" s="53"/>
      <c r="D175" s="306">
        <f t="shared" si="11"/>
        <v>0</v>
      </c>
      <c r="E175" s="306">
        <f t="shared" si="12"/>
        <v>0</v>
      </c>
      <c r="F175" s="306">
        <f t="shared" si="13"/>
        <v>0</v>
      </c>
      <c r="G175" s="306">
        <f t="shared" si="14"/>
        <v>0</v>
      </c>
      <c r="H175" s="306">
        <f t="shared" si="15"/>
        <v>0</v>
      </c>
      <c r="I175" s="80"/>
      <c r="J175" s="287"/>
      <c r="K175" s="52"/>
      <c r="L175" s="52"/>
      <c r="M175" s="52"/>
      <c r="N175" s="52"/>
      <c r="O175" s="52"/>
      <c r="P175" s="52"/>
      <c r="Q175" s="52"/>
      <c r="R175" s="52"/>
      <c r="S175" s="52"/>
    </row>
    <row r="176" spans="2:19" s="54" customFormat="1" ht="15" customHeight="1">
      <c r="B176" s="83" t="str">
        <f>Assumptions!C177</f>
        <v>Fundraising</v>
      </c>
      <c r="C176" s="53"/>
      <c r="D176" s="306">
        <f t="shared" si="11"/>
        <v>0</v>
      </c>
      <c r="E176" s="306">
        <f t="shared" si="12"/>
        <v>0</v>
      </c>
      <c r="F176" s="306">
        <f t="shared" si="13"/>
        <v>0</v>
      </c>
      <c r="G176" s="306">
        <f t="shared" si="14"/>
        <v>0</v>
      </c>
      <c r="H176" s="306">
        <f t="shared" si="15"/>
        <v>0</v>
      </c>
      <c r="I176" s="80"/>
      <c r="J176" s="287"/>
      <c r="K176" s="52"/>
      <c r="L176" s="52"/>
      <c r="M176" s="52"/>
      <c r="N176" s="52"/>
      <c r="O176" s="52"/>
      <c r="P176" s="52"/>
      <c r="Q176" s="52"/>
      <c r="R176" s="52"/>
      <c r="S176" s="52"/>
    </row>
    <row r="177" spans="2:19" s="54" customFormat="1" ht="15" customHeight="1">
      <c r="B177" s="83" t="str">
        <f>Assumptions!C178</f>
        <v>Custom Operations #1</v>
      </c>
      <c r="C177" s="53"/>
      <c r="D177" s="306">
        <f t="shared" si="11"/>
        <v>0</v>
      </c>
      <c r="E177" s="306">
        <f t="shared" si="12"/>
        <v>0</v>
      </c>
      <c r="F177" s="306">
        <f t="shared" si="13"/>
        <v>0</v>
      </c>
      <c r="G177" s="306">
        <f t="shared" si="14"/>
        <v>0</v>
      </c>
      <c r="H177" s="306">
        <f t="shared" si="15"/>
        <v>0</v>
      </c>
      <c r="I177" s="80"/>
      <c r="J177" s="287"/>
      <c r="K177" s="52"/>
      <c r="L177" s="52"/>
      <c r="M177" s="52"/>
      <c r="N177" s="52"/>
      <c r="O177" s="52"/>
      <c r="P177" s="52"/>
      <c r="Q177" s="52"/>
      <c r="R177" s="52"/>
      <c r="S177" s="52"/>
    </row>
    <row r="178" spans="2:19" s="54" customFormat="1" ht="15" customHeight="1">
      <c r="B178" s="83" t="str">
        <f>Assumptions!C179</f>
        <v>Custom Operations #2</v>
      </c>
      <c r="C178" s="53"/>
      <c r="D178" s="306">
        <f t="shared" si="11"/>
        <v>0</v>
      </c>
      <c r="E178" s="306">
        <f t="shared" si="12"/>
        <v>0</v>
      </c>
      <c r="F178" s="306">
        <f t="shared" si="13"/>
        <v>0</v>
      </c>
      <c r="G178" s="306">
        <f t="shared" si="14"/>
        <v>0</v>
      </c>
      <c r="H178" s="306">
        <f t="shared" si="15"/>
        <v>0</v>
      </c>
      <c r="I178" s="80"/>
      <c r="J178" s="287"/>
      <c r="K178" s="52"/>
      <c r="L178" s="52"/>
      <c r="M178" s="52"/>
      <c r="N178" s="52"/>
      <c r="O178" s="52"/>
      <c r="P178" s="52"/>
      <c r="Q178" s="52"/>
      <c r="R178" s="52"/>
      <c r="S178" s="52"/>
    </row>
    <row r="179" spans="2:19" s="54" customFormat="1" ht="15" customHeight="1">
      <c r="B179" s="83" t="str">
        <f>Assumptions!C180</f>
        <v>Custom Operations #3</v>
      </c>
      <c r="C179" s="53"/>
      <c r="D179" s="306">
        <f t="shared" si="11"/>
        <v>0</v>
      </c>
      <c r="E179" s="306">
        <f t="shared" si="12"/>
        <v>0</v>
      </c>
      <c r="F179" s="306">
        <f t="shared" si="13"/>
        <v>0</v>
      </c>
      <c r="G179" s="306">
        <f t="shared" si="14"/>
        <v>0</v>
      </c>
      <c r="H179" s="306">
        <f t="shared" si="15"/>
        <v>0</v>
      </c>
      <c r="I179" s="80"/>
      <c r="J179" s="287"/>
      <c r="K179" s="52"/>
      <c r="L179" s="52"/>
      <c r="M179" s="52"/>
      <c r="N179" s="52"/>
      <c r="O179" s="52"/>
      <c r="P179" s="52"/>
      <c r="Q179" s="52"/>
      <c r="R179" s="52"/>
      <c r="S179" s="52"/>
    </row>
    <row r="180" spans="2:19" s="54" customFormat="1" ht="15" customHeight="1" thickBot="1">
      <c r="B180" s="81" t="str">
        <f>Assumptions!C181</f>
        <v>TOTAL SCHOOL OPERATIONS</v>
      </c>
      <c r="C180" s="53"/>
      <c r="D180" s="307">
        <f>SUM(D158:D179)</f>
        <v>0</v>
      </c>
      <c r="E180" s="307">
        <f>SUM(E158:E179)</f>
        <v>0</v>
      </c>
      <c r="F180" s="307">
        <f>SUM(F158:F179)</f>
        <v>0</v>
      </c>
      <c r="G180" s="307">
        <f>SUM(G158:G179)</f>
        <v>0</v>
      </c>
      <c r="H180" s="307">
        <f>SUM(H158:H179)</f>
        <v>0</v>
      </c>
      <c r="I180" s="80"/>
      <c r="J180" s="287"/>
      <c r="K180" s="52"/>
      <c r="L180" s="52"/>
      <c r="M180" s="52"/>
      <c r="N180" s="52"/>
      <c r="O180" s="52"/>
      <c r="P180" s="52"/>
      <c r="Q180" s="52"/>
      <c r="R180" s="52"/>
      <c r="S180" s="52"/>
    </row>
    <row r="181" spans="2:19" s="54" customFormat="1" ht="6" customHeight="1" thickTop="1">
      <c r="B181" s="90"/>
      <c r="C181" s="53"/>
      <c r="D181" s="306"/>
      <c r="E181" s="306"/>
      <c r="F181" s="306"/>
      <c r="G181" s="306"/>
      <c r="H181" s="306"/>
      <c r="I181" s="80"/>
      <c r="J181" s="287"/>
      <c r="K181" s="52"/>
      <c r="L181" s="52"/>
      <c r="M181" s="52"/>
      <c r="N181" s="52"/>
      <c r="O181" s="52"/>
      <c r="P181" s="52"/>
      <c r="Q181" s="52"/>
      <c r="R181" s="52"/>
      <c r="S181" s="52"/>
    </row>
    <row r="182" spans="2:19" s="54" customFormat="1" ht="15" customHeight="1">
      <c r="B182" s="81" t="str">
        <f>Assumptions!C183</f>
        <v>FACILITY OPERATION &amp; MAINTENANCE</v>
      </c>
      <c r="C182" s="53"/>
      <c r="D182" s="310"/>
      <c r="E182" s="310"/>
      <c r="F182" s="310"/>
      <c r="G182" s="310"/>
      <c r="H182" s="310"/>
      <c r="I182" s="80"/>
      <c r="J182" s="287"/>
      <c r="K182" s="52"/>
      <c r="L182" s="52"/>
      <c r="M182" s="52"/>
      <c r="N182" s="52"/>
      <c r="O182" s="52"/>
      <c r="P182" s="52"/>
      <c r="Q182" s="52"/>
      <c r="R182" s="52"/>
      <c r="S182" s="52"/>
    </row>
    <row r="183" spans="2:19" s="54" customFormat="1" ht="15" customHeight="1">
      <c r="B183" s="83" t="str">
        <f>Assumptions!C184</f>
        <v>Insurance</v>
      </c>
      <c r="C183" s="53"/>
      <c r="D183" s="306">
        <f t="shared" ref="D183:D192" si="16">IF(VLOOKUP($B183,X_Assumptions,3,FALSE)=1,SUM(VLOOKUP($B183,X_AssumptionsInc,3,FALSE)*VLOOKUP("Total Enrollment",X_Enrollment,2,FALSE)),
IF(VLOOKUP($B183,X_Assumptions,3,FALSE)=2,SUM(VLOOKUP($B183,X_AssumptionsInc,3,FALSE)*X_Staffing_YR1_FTE),VLOOKUP($B183,X_AssumptionsInc,3,FALSE)))</f>
        <v>0</v>
      </c>
      <c r="E183" s="306">
        <f t="shared" ref="E183:E192" si="17">IF(VLOOKUP($B183,X_Assumptions,3,FALSE)=1,SUM(VLOOKUP($B183,X_AssumptionsInc,4,FALSE)*VLOOKUP("Total Enrollment",X_Enrollment,3,FALSE)),
IF(VLOOKUP($B183,X_Assumptions,3,FALSE)=2,SUM(VLOOKUP($B183,X_AssumptionsInc,4,FALSE)*X_Staffing_YR2_FTE),VLOOKUP($B183,X_AssumptionsInc,4,FALSE)))</f>
        <v>0</v>
      </c>
      <c r="F183" s="306">
        <f t="shared" ref="F183:F192" si="18">IF(VLOOKUP($B183,X_Assumptions,3,FALSE)=1,SUM(VLOOKUP($B183,X_AssumptionsInc,5,FALSE)*VLOOKUP("Total Enrollment",X_Enrollment,4,FALSE)),
IF(VLOOKUP($B183,X_Assumptions,3,FALSE)=2,SUM(VLOOKUP($B183,X_AssumptionsInc,5,FALSE)*X_Staffing_YR3_FTE),VLOOKUP($B183,X_AssumptionsInc,5,FALSE)))</f>
        <v>0</v>
      </c>
      <c r="G183" s="306">
        <f t="shared" ref="G183:G192" si="19">IF(VLOOKUP($B183,X_Assumptions,3,FALSE)=1,SUM(VLOOKUP($B183,X_AssumptionsInc,6,FALSE)*VLOOKUP("Total Enrollment",X_Enrollment,5,FALSE)),
IF(VLOOKUP($B183,X_Assumptions,3,FALSE)=2,SUM(VLOOKUP($B183,X_AssumptionsInc,6,FALSE)*X_Staffing_YR4_FTE),VLOOKUP($B183,X_AssumptionsInc,6,FALSE)))</f>
        <v>0</v>
      </c>
      <c r="H183" s="306">
        <f t="shared" ref="H183:H192" si="20">IF(VLOOKUP($B183,X_Assumptions,3,FALSE)=1,SUM(VLOOKUP($B183,X_AssumptionsInc,7,FALSE)*VLOOKUP("Total Enrollment",X_Enrollment,6,FALSE)),
IF(VLOOKUP($B183,X_Assumptions,3,FALSE)=2,SUM(VLOOKUP($B183,X_AssumptionsInc,7,FALSE)*X_Staffing_YR5_FTE),VLOOKUP($B183,X_AssumptionsInc,7,FALSE)))</f>
        <v>0</v>
      </c>
      <c r="I183" s="80"/>
      <c r="J183" s="287"/>
      <c r="K183" s="52"/>
      <c r="L183" s="52"/>
      <c r="M183" s="52"/>
      <c r="N183" s="52"/>
      <c r="O183" s="52"/>
      <c r="P183" s="52"/>
      <c r="Q183" s="52"/>
      <c r="R183" s="52"/>
      <c r="S183" s="52"/>
    </row>
    <row r="184" spans="2:19" s="54" customFormat="1" ht="15" customHeight="1">
      <c r="B184" s="83" t="str">
        <f>Assumptions!C185</f>
        <v>Janitorial Services</v>
      </c>
      <c r="C184" s="53"/>
      <c r="D184" s="306">
        <f t="shared" si="16"/>
        <v>0</v>
      </c>
      <c r="E184" s="306">
        <f t="shared" si="17"/>
        <v>0</v>
      </c>
      <c r="F184" s="306">
        <f t="shared" si="18"/>
        <v>0</v>
      </c>
      <c r="G184" s="306">
        <f t="shared" si="19"/>
        <v>0</v>
      </c>
      <c r="H184" s="306">
        <f t="shared" si="20"/>
        <v>0</v>
      </c>
      <c r="I184" s="80"/>
      <c r="J184" s="287"/>
      <c r="K184" s="52"/>
      <c r="L184" s="52"/>
      <c r="M184" s="52"/>
      <c r="N184" s="52"/>
      <c r="O184" s="52"/>
      <c r="P184" s="52"/>
      <c r="Q184" s="52"/>
      <c r="R184" s="52"/>
      <c r="S184" s="52"/>
    </row>
    <row r="185" spans="2:19" s="54" customFormat="1" ht="15" customHeight="1">
      <c r="B185" s="83" t="str">
        <f>Assumptions!C186</f>
        <v>Building and Land Rent / Lease</v>
      </c>
      <c r="C185" s="53"/>
      <c r="D185" s="306">
        <f t="shared" si="16"/>
        <v>0</v>
      </c>
      <c r="E185" s="306">
        <f t="shared" si="17"/>
        <v>0</v>
      </c>
      <c r="F185" s="306">
        <f t="shared" si="18"/>
        <v>0</v>
      </c>
      <c r="G185" s="306">
        <f t="shared" si="19"/>
        <v>0</v>
      </c>
      <c r="H185" s="306">
        <f t="shared" si="20"/>
        <v>0</v>
      </c>
      <c r="I185" s="80"/>
      <c r="J185" s="287"/>
      <c r="K185" s="52"/>
      <c r="L185" s="52"/>
      <c r="M185" s="52"/>
      <c r="N185" s="52"/>
      <c r="O185" s="52"/>
      <c r="P185" s="52"/>
      <c r="Q185" s="52"/>
      <c r="R185" s="52"/>
      <c r="S185" s="52"/>
    </row>
    <row r="186" spans="2:19" s="54" customFormat="1" ht="15" customHeight="1">
      <c r="B186" s="83" t="str">
        <f>Assumptions!C187</f>
        <v xml:space="preserve">Repairs &amp; Maintenance </v>
      </c>
      <c r="C186" s="53"/>
      <c r="D186" s="306">
        <f t="shared" si="16"/>
        <v>0</v>
      </c>
      <c r="E186" s="306">
        <f t="shared" si="17"/>
        <v>0</v>
      </c>
      <c r="F186" s="306">
        <f t="shared" si="18"/>
        <v>0</v>
      </c>
      <c r="G186" s="306">
        <f t="shared" si="19"/>
        <v>0</v>
      </c>
      <c r="H186" s="306">
        <f t="shared" si="20"/>
        <v>0</v>
      </c>
      <c r="I186" s="80"/>
      <c r="J186" s="287"/>
      <c r="K186" s="52"/>
      <c r="L186" s="52"/>
      <c r="M186" s="52"/>
      <c r="N186" s="52"/>
      <c r="O186" s="52"/>
      <c r="P186" s="52"/>
      <c r="Q186" s="52"/>
      <c r="R186" s="52"/>
      <c r="S186" s="52"/>
    </row>
    <row r="187" spans="2:19" s="54" customFormat="1" ht="15" customHeight="1">
      <c r="B187" s="83" t="str">
        <f>Assumptions!C188</f>
        <v>Equipment / Furniture</v>
      </c>
      <c r="C187" s="53"/>
      <c r="D187" s="306">
        <f t="shared" si="16"/>
        <v>0</v>
      </c>
      <c r="E187" s="306">
        <f t="shared" si="17"/>
        <v>0</v>
      </c>
      <c r="F187" s="306">
        <f t="shared" si="18"/>
        <v>0</v>
      </c>
      <c r="G187" s="306">
        <f t="shared" si="19"/>
        <v>0</v>
      </c>
      <c r="H187" s="306">
        <f t="shared" si="20"/>
        <v>0</v>
      </c>
      <c r="I187" s="80"/>
      <c r="J187" s="287"/>
      <c r="K187" s="52"/>
      <c r="L187" s="52"/>
      <c r="M187" s="52"/>
      <c r="N187" s="52"/>
      <c r="O187" s="52"/>
      <c r="P187" s="52"/>
      <c r="Q187" s="52"/>
      <c r="R187" s="52"/>
      <c r="S187" s="52"/>
    </row>
    <row r="188" spans="2:19" s="54" customFormat="1" ht="15" customHeight="1">
      <c r="B188" s="83" t="str">
        <f>Assumptions!C189</f>
        <v>Security Services</v>
      </c>
      <c r="C188" s="53"/>
      <c r="D188" s="306">
        <f t="shared" si="16"/>
        <v>0</v>
      </c>
      <c r="E188" s="306">
        <f t="shared" si="17"/>
        <v>0</v>
      </c>
      <c r="F188" s="306">
        <f t="shared" si="18"/>
        <v>0</v>
      </c>
      <c r="G188" s="306">
        <f t="shared" si="19"/>
        <v>0</v>
      </c>
      <c r="H188" s="306">
        <f t="shared" si="20"/>
        <v>0</v>
      </c>
      <c r="I188" s="80"/>
      <c r="J188" s="287"/>
      <c r="K188" s="52"/>
      <c r="L188" s="52"/>
      <c r="M188" s="52"/>
      <c r="N188" s="52"/>
      <c r="O188" s="52"/>
      <c r="P188" s="52"/>
      <c r="Q188" s="52"/>
      <c r="R188" s="52"/>
      <c r="S188" s="52"/>
    </row>
    <row r="189" spans="2:19" s="54" customFormat="1" ht="15" customHeight="1">
      <c r="B189" s="83" t="str">
        <f>Assumptions!C190</f>
        <v>Utilities</v>
      </c>
      <c r="C189" s="53"/>
      <c r="D189" s="306">
        <f t="shared" si="16"/>
        <v>0</v>
      </c>
      <c r="E189" s="306">
        <f t="shared" si="17"/>
        <v>0</v>
      </c>
      <c r="F189" s="306">
        <f t="shared" si="18"/>
        <v>0</v>
      </c>
      <c r="G189" s="306">
        <f t="shared" si="19"/>
        <v>0</v>
      </c>
      <c r="H189" s="306">
        <f t="shared" si="20"/>
        <v>0</v>
      </c>
      <c r="I189" s="80"/>
      <c r="J189" s="287"/>
      <c r="K189" s="52"/>
      <c r="L189" s="52"/>
      <c r="M189" s="52"/>
      <c r="N189" s="52"/>
      <c r="O189" s="52"/>
      <c r="P189" s="52"/>
      <c r="Q189" s="52"/>
      <c r="R189" s="52"/>
      <c r="S189" s="52"/>
    </row>
    <row r="190" spans="2:19" s="54" customFormat="1" ht="15" customHeight="1">
      <c r="B190" s="83" t="str">
        <f>Assumptions!C191</f>
        <v>Custom Facilities Operations #1</v>
      </c>
      <c r="C190" s="53"/>
      <c r="D190" s="306">
        <f t="shared" si="16"/>
        <v>0</v>
      </c>
      <c r="E190" s="306">
        <f t="shared" si="17"/>
        <v>0</v>
      </c>
      <c r="F190" s="306">
        <f t="shared" si="18"/>
        <v>0</v>
      </c>
      <c r="G190" s="306">
        <f t="shared" si="19"/>
        <v>0</v>
      </c>
      <c r="H190" s="306">
        <f t="shared" si="20"/>
        <v>0</v>
      </c>
      <c r="I190" s="80"/>
      <c r="J190" s="287"/>
      <c r="K190" s="52"/>
      <c r="L190" s="52"/>
      <c r="M190" s="52"/>
      <c r="N190" s="52"/>
      <c r="O190" s="52"/>
      <c r="P190" s="52"/>
      <c r="Q190" s="52"/>
      <c r="R190" s="52"/>
      <c r="S190" s="52"/>
    </row>
    <row r="191" spans="2:19" s="54" customFormat="1" ht="15" customHeight="1">
      <c r="B191" s="83" t="str">
        <f>Assumptions!C192</f>
        <v>Custom Facilities Operations #2</v>
      </c>
      <c r="C191" s="53"/>
      <c r="D191" s="306">
        <f t="shared" si="16"/>
        <v>0</v>
      </c>
      <c r="E191" s="306">
        <f t="shared" si="17"/>
        <v>0</v>
      </c>
      <c r="F191" s="306">
        <f t="shared" si="18"/>
        <v>0</v>
      </c>
      <c r="G191" s="306">
        <f t="shared" si="19"/>
        <v>0</v>
      </c>
      <c r="H191" s="306">
        <f t="shared" si="20"/>
        <v>0</v>
      </c>
      <c r="I191" s="80"/>
      <c r="J191" s="287"/>
      <c r="K191" s="52"/>
      <c r="L191" s="52"/>
      <c r="M191" s="52"/>
      <c r="N191" s="52"/>
      <c r="O191" s="52"/>
      <c r="P191" s="52"/>
      <c r="Q191" s="52"/>
      <c r="R191" s="52"/>
      <c r="S191" s="52"/>
    </row>
    <row r="192" spans="2:19" s="54" customFormat="1" ht="15" customHeight="1">
      <c r="B192" s="83" t="str">
        <f>Assumptions!C193</f>
        <v>Custom Facilities Operations #3</v>
      </c>
      <c r="C192" s="53"/>
      <c r="D192" s="306">
        <f t="shared" si="16"/>
        <v>0</v>
      </c>
      <c r="E192" s="306">
        <f t="shared" si="17"/>
        <v>0</v>
      </c>
      <c r="F192" s="306">
        <f t="shared" si="18"/>
        <v>0</v>
      </c>
      <c r="G192" s="306">
        <f t="shared" si="19"/>
        <v>0</v>
      </c>
      <c r="H192" s="306">
        <f t="shared" si="20"/>
        <v>0</v>
      </c>
      <c r="I192" s="80"/>
      <c r="J192" s="287"/>
      <c r="K192" s="52"/>
      <c r="L192" s="52"/>
      <c r="M192" s="52"/>
      <c r="N192" s="52"/>
      <c r="O192" s="52"/>
      <c r="P192" s="52"/>
      <c r="Q192" s="52"/>
      <c r="R192" s="52"/>
      <c r="S192" s="52"/>
    </row>
    <row r="193" spans="2:19" s="54" customFormat="1" ht="15" customHeight="1" thickBot="1">
      <c r="B193" s="81" t="str">
        <f>Assumptions!C194</f>
        <v>TOTAL FACILITY OPERATION &amp; MAINTENANCE</v>
      </c>
      <c r="C193" s="53"/>
      <c r="D193" s="312">
        <f>SUM(D183:D192)</f>
        <v>0</v>
      </c>
      <c r="E193" s="312">
        <f>SUM(E183:E192)</f>
        <v>0</v>
      </c>
      <c r="F193" s="312">
        <f>SUM(F183:F192)</f>
        <v>0</v>
      </c>
      <c r="G193" s="312">
        <f>SUM(G183:G192)</f>
        <v>0</v>
      </c>
      <c r="H193" s="312">
        <f>SUM(H183:H192)</f>
        <v>0</v>
      </c>
      <c r="I193" s="80"/>
      <c r="J193" s="287"/>
      <c r="K193" s="52"/>
      <c r="L193" s="52"/>
      <c r="M193" s="52"/>
      <c r="N193" s="52"/>
      <c r="O193" s="52"/>
      <c r="P193" s="52"/>
      <c r="Q193" s="52"/>
      <c r="R193" s="52"/>
      <c r="S193" s="52"/>
    </row>
    <row r="194" spans="2:19" s="54" customFormat="1" ht="6" customHeight="1" thickTop="1">
      <c r="B194" s="81"/>
      <c r="C194" s="53"/>
      <c r="D194" s="314"/>
      <c r="E194" s="314"/>
      <c r="F194" s="314"/>
      <c r="G194" s="314"/>
      <c r="H194" s="314"/>
      <c r="I194" s="80"/>
      <c r="J194" s="287"/>
      <c r="K194" s="52"/>
      <c r="L194" s="52"/>
      <c r="M194" s="52"/>
      <c r="N194" s="52"/>
      <c r="O194" s="52"/>
      <c r="P194" s="52"/>
      <c r="Q194" s="52"/>
      <c r="R194" s="52"/>
      <c r="S194" s="52"/>
    </row>
    <row r="195" spans="2:19" s="54" customFormat="1" ht="15" customHeight="1">
      <c r="B195" s="81" t="str">
        <f>Assumptions!C196</f>
        <v>RESERVES / CONTIGENCY</v>
      </c>
      <c r="C195" s="53"/>
      <c r="D195" s="306">
        <f>IF(VLOOKUP($B195,X_Assumptions,3,FALSE)=1,SUM(VLOOKUP($B195,X_AssumptionsInc,3,FALSE)*VLOOKUP("Total Enrollment",X_Enrollment,2,FALSE)),
IF(VLOOKUP($B195,X_Assumptions,3,FALSE)=2,SUM(VLOOKUP($B195,X_AssumptionsInc,3,FALSE)*X_Staffing_YR1_FTE),VLOOKUP($B195,X_AssumptionsInc,3,FALSE)))</f>
        <v>0</v>
      </c>
      <c r="E195" s="306">
        <f>IF(VLOOKUP($B195,X_Assumptions,3,FALSE)=1,SUM(VLOOKUP($B195,X_AssumptionsInc,4,FALSE)*VLOOKUP("Total Enrollment",X_Enrollment,3,FALSE)),
IF(VLOOKUP($B195,X_Assumptions,3,FALSE)=2,SUM(VLOOKUP($B195,X_AssumptionsInc,4,FALSE)*X_Staffing_YR2_FTE),VLOOKUP($B195,X_AssumptionsInc,4,FALSE)))</f>
        <v>0</v>
      </c>
      <c r="F195" s="306">
        <f>IF(VLOOKUP($B195,X_Assumptions,3,FALSE)=1,SUM(VLOOKUP($B195,X_AssumptionsInc,5,FALSE)*VLOOKUP("Total Enrollment",X_Enrollment,4,FALSE)),
IF(VLOOKUP($B195,X_Assumptions,3,FALSE)=2,SUM(VLOOKUP($B195,X_AssumptionsInc,5,FALSE)*X_Staffing_YR3_FTE),VLOOKUP($B195,X_AssumptionsInc,5,FALSE)))</f>
        <v>0</v>
      </c>
      <c r="G195" s="306">
        <f>IF(VLOOKUP($B195,X_Assumptions,3,FALSE)=1,SUM(VLOOKUP($B195,X_AssumptionsInc,6,FALSE)*VLOOKUP("Total Enrollment",X_Enrollment,5,FALSE)),
IF(VLOOKUP($B195,X_Assumptions,3,FALSE)=2,SUM(VLOOKUP($B195,X_AssumptionsInc,6,FALSE)*X_Staffing_YR4_FTE),VLOOKUP($B195,X_AssumptionsInc,6,FALSE)))</f>
        <v>0</v>
      </c>
      <c r="H195" s="306">
        <f>IF(VLOOKUP($B195,X_Assumptions,3,FALSE)=1,SUM(VLOOKUP($B195,X_AssumptionsInc,7,FALSE)*VLOOKUP("Total Enrollment",X_Enrollment,6,FALSE)),
IF(VLOOKUP($B195,X_Assumptions,3,FALSE)=2,SUM(VLOOKUP($B195,X_AssumptionsInc,7,FALSE)*X_Staffing_YR5_FTE),VLOOKUP($B195,X_AssumptionsInc,7,FALSE)))</f>
        <v>0</v>
      </c>
      <c r="I195" s="80"/>
      <c r="J195" s="287"/>
      <c r="K195" s="52"/>
      <c r="L195" s="52"/>
      <c r="M195" s="52"/>
      <c r="N195" s="52"/>
      <c r="O195" s="52"/>
      <c r="P195" s="52"/>
      <c r="Q195" s="52"/>
      <c r="R195" s="52"/>
      <c r="S195" s="52"/>
    </row>
    <row r="196" spans="2:19" s="54" customFormat="1" ht="6" customHeight="1">
      <c r="B196" s="81"/>
      <c r="C196" s="53"/>
      <c r="D196" s="315"/>
      <c r="E196" s="315"/>
      <c r="F196" s="315"/>
      <c r="G196" s="315"/>
      <c r="H196" s="315"/>
      <c r="I196" s="80"/>
      <c r="J196" s="287"/>
      <c r="K196" s="52"/>
      <c r="L196" s="52"/>
      <c r="M196" s="52"/>
      <c r="N196" s="52"/>
      <c r="O196" s="52"/>
      <c r="P196" s="52"/>
      <c r="Q196" s="52"/>
      <c r="R196" s="52"/>
      <c r="S196" s="52"/>
    </row>
    <row r="197" spans="2:19" s="54" customFormat="1" ht="15" customHeight="1">
      <c r="B197" s="81" t="str">
        <f>Assumptions!C198</f>
        <v>TOTAL EXPENSES</v>
      </c>
      <c r="C197" s="53"/>
      <c r="D197" s="316">
        <f>SUM(D140+D155+D180+D193+D195)</f>
        <v>0</v>
      </c>
      <c r="E197" s="316">
        <f>SUM(E140+E155+E180+E193+E195)</f>
        <v>0</v>
      </c>
      <c r="F197" s="316">
        <f>SUM(F140+F155+F180+F193+F195)</f>
        <v>0</v>
      </c>
      <c r="G197" s="316">
        <f>SUM(G140+G155+G180+G193+G195)</f>
        <v>0</v>
      </c>
      <c r="H197" s="316">
        <f>SUM(H140+H155+H180+H193+H195)</f>
        <v>0</v>
      </c>
      <c r="I197" s="80"/>
      <c r="J197" s="287"/>
      <c r="K197" s="52"/>
      <c r="L197" s="52"/>
      <c r="M197" s="52"/>
      <c r="N197" s="52"/>
      <c r="O197" s="52"/>
      <c r="P197" s="52"/>
      <c r="Q197" s="52"/>
      <c r="R197" s="52"/>
      <c r="S197" s="52"/>
    </row>
    <row r="198" spans="2:19" s="54" customFormat="1" ht="15" customHeight="1" thickBot="1">
      <c r="B198" s="81" t="str">
        <f>Assumptions!C199</f>
        <v>NET OPERATING INCOME (before Depreciation)</v>
      </c>
      <c r="C198" s="97"/>
      <c r="D198" s="312">
        <f>D90-D197</f>
        <v>0</v>
      </c>
      <c r="E198" s="312">
        <f>E90-E197</f>
        <v>0</v>
      </c>
      <c r="F198" s="312">
        <f>F90-F197</f>
        <v>0</v>
      </c>
      <c r="G198" s="312">
        <f>G90-G197</f>
        <v>0</v>
      </c>
      <c r="H198" s="312">
        <f>H90-H197</f>
        <v>0</v>
      </c>
      <c r="I198" s="80"/>
      <c r="J198" s="287"/>
      <c r="K198" s="52"/>
      <c r="L198" s="52"/>
      <c r="M198" s="52"/>
      <c r="N198" s="52"/>
      <c r="O198" s="52"/>
      <c r="P198" s="52"/>
      <c r="Q198" s="52"/>
      <c r="R198" s="52"/>
      <c r="S198" s="52"/>
    </row>
    <row r="199" spans="2:19" s="54" customFormat="1" ht="6" customHeight="1" thickTop="1">
      <c r="B199" s="81"/>
      <c r="C199" s="53"/>
      <c r="D199" s="314"/>
      <c r="E199" s="314"/>
      <c r="F199" s="314"/>
      <c r="G199" s="314"/>
      <c r="H199" s="314"/>
      <c r="I199" s="80"/>
      <c r="J199" s="287"/>
      <c r="K199" s="52"/>
      <c r="L199" s="52"/>
      <c r="M199" s="52"/>
      <c r="N199" s="52"/>
      <c r="O199" s="52"/>
      <c r="P199" s="52"/>
      <c r="Q199" s="52"/>
      <c r="R199" s="52"/>
      <c r="S199" s="52"/>
    </row>
    <row r="200" spans="2:19" s="54" customFormat="1" ht="15" customHeight="1">
      <c r="B200" s="81" t="str">
        <f>Assumptions!C201</f>
        <v>DEPRECIATION &amp; AMORTIZATION</v>
      </c>
      <c r="C200" s="53"/>
      <c r="D200" s="306">
        <f>IF(VLOOKUP($B200,X_Assumptions,3,FALSE)=1,SUM(VLOOKUP($B200,X_AssumptionsInc,3,FALSE)*VLOOKUP("Total Enrollment",X_Enrollment,2,FALSE)),
IF(VLOOKUP($B200,X_Assumptions,3,FALSE)=2,SUM(VLOOKUP($B200,X_AssumptionsInc,3,FALSE)*X_Staffing_YR1_FTE),VLOOKUP($B200,X_AssumptionsInc,3,FALSE)))</f>
        <v>0</v>
      </c>
      <c r="E200" s="306">
        <f>IF(VLOOKUP($B200,X_Assumptions,3,FALSE)=1,SUM(VLOOKUP($B200,X_AssumptionsInc,4,FALSE)*VLOOKUP("Total Enrollment",X_Enrollment,3,FALSE)),
IF(VLOOKUP($B200,X_Assumptions,3,FALSE)=2,SUM(VLOOKUP($B200,X_AssumptionsInc,4,FALSE)*X_Staffing_YR2_FTE),VLOOKUP($B200,X_AssumptionsInc,4,FALSE)))</f>
        <v>0</v>
      </c>
      <c r="F200" s="306">
        <f>IF(VLOOKUP($B200,X_Assumptions,3,FALSE)=1,SUM(VLOOKUP($B200,X_AssumptionsInc,5,FALSE)*VLOOKUP("Total Enrollment",X_Enrollment,4,FALSE)),
IF(VLOOKUP($B200,X_Assumptions,3,FALSE)=2,SUM(VLOOKUP($B200,X_AssumptionsInc,5,FALSE)*X_Staffing_YR3_FTE),VLOOKUP($B200,X_AssumptionsInc,5,FALSE)))</f>
        <v>0</v>
      </c>
      <c r="G200" s="306">
        <f>IF(VLOOKUP($B200,X_Assumptions,3,FALSE)=1,SUM(VLOOKUP($B200,X_AssumptionsInc,6,FALSE)*VLOOKUP("Total Enrollment",X_Enrollment,5,FALSE)),
IF(VLOOKUP($B200,X_Assumptions,3,FALSE)=2,SUM(VLOOKUP($B200,X_AssumptionsInc,6,FALSE)*X_Staffing_YR4_FTE),VLOOKUP($B200,X_AssumptionsInc,6,FALSE)))</f>
        <v>0</v>
      </c>
      <c r="H200" s="306">
        <f>IF(VLOOKUP($B200,X_Assumptions,3,FALSE)=1,SUM(VLOOKUP($B200,X_AssumptionsInc,7,FALSE)*VLOOKUP("Total Enrollment",X_Enrollment,6,FALSE)),
IF(VLOOKUP($B200,X_Assumptions,3,FALSE)=2,SUM(VLOOKUP($B200,X_AssumptionsInc,7,FALSE)*X_Staffing_YR5_FTE),VLOOKUP($B200,X_AssumptionsInc,7,FALSE)))</f>
        <v>0</v>
      </c>
      <c r="I200" s="80"/>
      <c r="J200" s="287"/>
      <c r="K200" s="52"/>
      <c r="L200" s="52"/>
      <c r="M200" s="52"/>
      <c r="N200" s="52"/>
      <c r="O200" s="52"/>
      <c r="P200" s="52"/>
      <c r="Q200" s="52"/>
      <c r="R200" s="52"/>
      <c r="S200" s="52"/>
    </row>
    <row r="201" spans="2:19" s="54" customFormat="1" ht="6" customHeight="1">
      <c r="B201" s="81"/>
      <c r="C201" s="53"/>
      <c r="D201" s="96"/>
      <c r="E201" s="96"/>
      <c r="F201" s="96"/>
      <c r="G201" s="96"/>
      <c r="H201" s="96"/>
      <c r="I201" s="80"/>
      <c r="J201" s="287"/>
      <c r="K201" s="52"/>
      <c r="L201" s="52"/>
      <c r="M201" s="52"/>
      <c r="N201" s="52"/>
      <c r="O201" s="52"/>
      <c r="P201" s="52"/>
      <c r="Q201" s="52"/>
      <c r="R201" s="52"/>
      <c r="S201" s="52"/>
    </row>
    <row r="202" spans="2:19" s="54" customFormat="1" ht="15" customHeight="1" thickBot="1">
      <c r="B202" s="81" t="str">
        <f>Assumptions!C203</f>
        <v>NET OPERATING INCOME (including Depreciation)</v>
      </c>
      <c r="C202" s="53"/>
      <c r="D202" s="101">
        <f>D198-D200</f>
        <v>0</v>
      </c>
      <c r="E202" s="101">
        <f>E198-E200</f>
        <v>0</v>
      </c>
      <c r="F202" s="101">
        <f>F198-F200</f>
        <v>0</v>
      </c>
      <c r="G202" s="101">
        <f>G198-G200</f>
        <v>0</v>
      </c>
      <c r="H202" s="101">
        <f>H198-H200</f>
        <v>0</v>
      </c>
      <c r="I202" s="80"/>
      <c r="J202" s="287"/>
      <c r="K202" s="52"/>
      <c r="L202" s="52"/>
      <c r="M202" s="52"/>
      <c r="N202" s="52"/>
      <c r="O202" s="52"/>
      <c r="P202" s="52"/>
      <c r="Q202" s="52"/>
      <c r="R202" s="52"/>
      <c r="S202" s="52"/>
    </row>
    <row r="203" spans="2:19" s="54" customFormat="1" ht="15" customHeight="1" thickTop="1">
      <c r="B203" s="81"/>
      <c r="C203" s="53"/>
      <c r="D203" s="96"/>
      <c r="E203" s="96"/>
      <c r="F203" s="96"/>
      <c r="G203" s="96"/>
      <c r="H203" s="96"/>
      <c r="I203" s="80"/>
      <c r="J203" s="89"/>
      <c r="K203" s="52"/>
      <c r="L203" s="52"/>
      <c r="M203" s="52"/>
      <c r="N203" s="52"/>
      <c r="O203" s="52"/>
      <c r="P203" s="52"/>
      <c r="Q203" s="52"/>
      <c r="R203" s="52"/>
      <c r="S203" s="52"/>
    </row>
  </sheetData>
  <sheetProtection algorithmName="SHA-512" hashValue="+VIRP/013In07MqU3hDOATp9PxGq2zONIsA8iwkawa0fVS9AfRpye9NTMI937s88HBjIdqEv6aayzRgEMsPvYQ==" saltValue="VsZ/x344+7G2CJ1Bi4YaQw==" spinCount="100000" sheet="1" objects="1" scenarios="1" formatColumns="0" formatRows="0"/>
  <mergeCells count="2">
    <mergeCell ref="B6:J6"/>
    <mergeCell ref="B5:J5"/>
  </mergeCells>
  <conditionalFormatting sqref="D181:H181 D94:H100 D104:H111 D115:H119 D125:H137 D158:H179 D183:H192 D195:H196 D200:H200 D32:H32 D61:H67 D49:H52 D43:H43 D143:H154 D38:H41">
    <cfRule type="expression" dxfId="97" priority="174">
      <formula>#REF!=3</formula>
    </cfRule>
  </conditionalFormatting>
  <conditionalFormatting sqref="D73:H74">
    <cfRule type="expression" dxfId="96" priority="7">
      <formula>#REF!=3</formula>
    </cfRule>
  </conditionalFormatting>
  <conditionalFormatting sqref="D34:H34 D28:H28 D69:H69">
    <cfRule type="expression" dxfId="95" priority="12">
      <formula>#REF!=3</formula>
    </cfRule>
  </conditionalFormatting>
  <conditionalFormatting sqref="D26:H27 D20:H22">
    <cfRule type="expression" dxfId="94" priority="11">
      <formula>#REF!=3</formula>
    </cfRule>
  </conditionalFormatting>
  <conditionalFormatting sqref="D53:H53 D55:H55">
    <cfRule type="expression" dxfId="93" priority="9">
      <formula>#REF!=3</formula>
    </cfRule>
  </conditionalFormatting>
  <conditionalFormatting sqref="D59:H60">
    <cfRule type="expression" dxfId="92" priority="8">
      <formula>#REF!=3</formula>
    </cfRule>
  </conditionalFormatting>
  <conditionalFormatting sqref="D78:H81">
    <cfRule type="expression" dxfId="91" priority="6">
      <formula>#REF!=3</formula>
    </cfRule>
  </conditionalFormatting>
  <conditionalFormatting sqref="D85:H87">
    <cfRule type="expression" dxfId="90" priority="5">
      <formula>#REF!=3</formula>
    </cfRule>
  </conditionalFormatting>
  <conditionalFormatting sqref="D44:H44">
    <cfRule type="expression" dxfId="89" priority="4">
      <formula>#REF!=3</formula>
    </cfRule>
  </conditionalFormatting>
  <conditionalFormatting sqref="D48:H48">
    <cfRule type="expression" dxfId="88" priority="3">
      <formula>#REF!=3</formula>
    </cfRule>
  </conditionalFormatting>
  <conditionalFormatting sqref="D42:H42">
    <cfRule type="expression" dxfId="87" priority="2">
      <formula>#REF!=3</formula>
    </cfRule>
  </conditionalFormatting>
  <conditionalFormatting sqref="D33:H33">
    <cfRule type="expression" dxfId="86" priority="1">
      <formula>#REF!=3</formula>
    </cfRule>
  </conditionalFormatting>
  <printOptions horizontalCentered="1"/>
  <pageMargins left="0.5" right="0.25" top="0.5" bottom="0.25" header="0.5" footer="0.5"/>
  <pageSetup scale="50" orientation="portrait" r:id="rId1"/>
  <headerFooter alignWithMargins="0"/>
  <rowBreaks count="2" manualBreakCount="2">
    <brk id="91" min="1" max="9" man="1"/>
    <brk id="156" min="1" max="9" man="1"/>
  </rowBreaks>
  <ignoredErrors>
    <ignoredError sqref="E112:H112 D69:H69 D54:H54 D145:H145" formula="1"/>
    <ignoredError sqref="E32:H32 D36:H38 D40:H40" evalError="1"/>
    <ignoredError sqref="D43:H43" evalError="1" 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2">
    <tabColor theme="5" tint="-0.499984740745262"/>
  </sheetPr>
  <dimension ref="B2:AL203"/>
  <sheetViews>
    <sheetView view="pageBreakPreview" zoomScale="75" zoomScaleNormal="80" zoomScaleSheetLayoutView="75" workbookViewId="0">
      <pane xSplit="1" ySplit="16" topLeftCell="B56" activePane="bottomRight" state="frozen"/>
      <selection pane="topRight" activeCell="B1" sqref="B1"/>
      <selection pane="bottomLeft" activeCell="A17" sqref="A17"/>
      <selection pane="bottomRight" activeCell="F9" sqref="F9"/>
    </sheetView>
  </sheetViews>
  <sheetFormatPr defaultColWidth="9.140625" defaultRowHeight="15" customHeight="1"/>
  <cols>
    <col min="1" max="1" width="2.7109375" style="52" customWidth="1"/>
    <col min="2" max="2" width="58.42578125" style="52" customWidth="1"/>
    <col min="3" max="3" width="2.7109375" style="53" customWidth="1"/>
    <col min="4" max="4" width="18.7109375" style="53" customWidth="1"/>
    <col min="5" max="5" width="2.7109375" style="53" customWidth="1"/>
    <col min="6" max="6" width="60.7109375" style="286" customWidth="1"/>
    <col min="7" max="8" width="18.7109375" style="53" customWidth="1"/>
    <col min="9" max="9" width="1.7109375" style="53" customWidth="1"/>
    <col min="10" max="10" width="55.7109375" style="52" customWidth="1"/>
    <col min="11" max="19" width="9.140625" style="52" customWidth="1"/>
    <col min="20" max="24" width="9.7109375" style="54" customWidth="1"/>
    <col min="25" max="27" width="9.5703125" style="54" customWidth="1"/>
    <col min="28" max="37" width="9.140625" style="54" customWidth="1"/>
    <col min="38" max="38" width="9.85546875" style="54" bestFit="1" customWidth="1"/>
    <col min="39" max="40" width="9.85546875" style="52" bestFit="1" customWidth="1"/>
    <col min="41" max="42" width="11.5703125" style="52" bestFit="1" customWidth="1"/>
    <col min="43" max="16384" width="9.140625" style="52"/>
  </cols>
  <sheetData>
    <row r="2" spans="2:22" ht="15" hidden="1" customHeight="1"/>
    <row r="3" spans="2:22" s="54" customFormat="1" ht="15" hidden="1" customHeight="1">
      <c r="B3" s="52"/>
      <c r="C3" s="53"/>
      <c r="D3" s="53"/>
      <c r="E3" s="53"/>
      <c r="F3" s="286"/>
      <c r="G3" s="53"/>
      <c r="H3" s="53"/>
      <c r="I3" s="53"/>
      <c r="J3" s="52"/>
      <c r="K3" s="52"/>
      <c r="L3" s="52"/>
      <c r="M3" s="52"/>
      <c r="N3" s="52"/>
      <c r="O3" s="52"/>
      <c r="P3" s="52"/>
      <c r="Q3" s="52"/>
      <c r="R3" s="52"/>
      <c r="S3" s="52"/>
    </row>
    <row r="4" spans="2:22" s="54" customFormat="1" ht="10.5" customHeight="1">
      <c r="B4" s="52"/>
      <c r="C4" s="52"/>
      <c r="D4" s="53"/>
      <c r="E4" s="53"/>
      <c r="F4" s="286"/>
      <c r="G4" s="53"/>
      <c r="H4" s="53"/>
      <c r="I4" s="53"/>
      <c r="J4" s="52"/>
      <c r="K4" s="52"/>
      <c r="L4" s="52"/>
      <c r="M4" s="52"/>
      <c r="N4" s="52"/>
      <c r="O4" s="52"/>
      <c r="P4" s="52"/>
      <c r="Q4" s="52"/>
      <c r="R4" s="52"/>
      <c r="S4" s="52"/>
    </row>
    <row r="5" spans="2:22" s="54" customFormat="1" ht="23.25">
      <c r="B5" s="406" t="str">
        <f>X_SchoolName</f>
        <v>XYZ Charter School</v>
      </c>
      <c r="C5" s="406"/>
      <c r="D5" s="406"/>
      <c r="E5" s="406"/>
      <c r="F5" s="406"/>
      <c r="G5" s="224"/>
      <c r="H5" s="224"/>
      <c r="I5" s="55"/>
      <c r="J5" s="52"/>
      <c r="K5" s="52"/>
      <c r="L5" s="52"/>
      <c r="M5" s="52"/>
      <c r="N5" s="52"/>
      <c r="O5" s="52"/>
      <c r="P5" s="52"/>
      <c r="Q5" s="52"/>
      <c r="R5" s="52"/>
      <c r="S5" s="52"/>
    </row>
    <row r="6" spans="2:22" s="54" customFormat="1" ht="50.25" customHeight="1">
      <c r="B6" s="409" t="s">
        <v>202</v>
      </c>
      <c r="C6" s="409"/>
      <c r="D6" s="409"/>
      <c r="E6" s="409"/>
      <c r="F6" s="409"/>
      <c r="G6" s="223"/>
      <c r="H6" s="223"/>
      <c r="I6" s="55"/>
      <c r="J6" s="52"/>
      <c r="K6" s="52"/>
      <c r="L6" s="52"/>
      <c r="M6" s="52"/>
      <c r="N6" s="52"/>
      <c r="O6" s="52"/>
      <c r="P6" s="52"/>
      <c r="Q6" s="52"/>
      <c r="R6" s="52"/>
      <c r="S6" s="52"/>
    </row>
    <row r="7" spans="2:22" s="54" customFormat="1" ht="15" customHeight="1">
      <c r="B7" s="56"/>
      <c r="C7" s="53"/>
      <c r="D7" s="57"/>
      <c r="E7" s="58"/>
      <c r="F7" s="218"/>
      <c r="G7" s="58"/>
      <c r="H7" s="58"/>
      <c r="I7" s="58"/>
      <c r="J7" s="52"/>
      <c r="K7" s="52"/>
      <c r="L7" s="52"/>
      <c r="M7" s="52"/>
      <c r="N7" s="52"/>
      <c r="O7" s="52"/>
      <c r="P7" s="52"/>
      <c r="Q7" s="52"/>
      <c r="R7" s="52"/>
      <c r="S7" s="52"/>
    </row>
    <row r="8" spans="2:22" s="54" customFormat="1" ht="15" customHeight="1">
      <c r="B8" s="346" t="s">
        <v>156</v>
      </c>
      <c r="C8" s="331"/>
      <c r="D8" s="342"/>
      <c r="E8" s="58"/>
      <c r="F8" s="285" t="s">
        <v>157</v>
      </c>
      <c r="G8" s="58"/>
      <c r="H8" s="58"/>
      <c r="I8" s="57"/>
      <c r="J8" s="53"/>
      <c r="K8" s="53"/>
      <c r="L8" s="53"/>
      <c r="M8" s="53"/>
      <c r="N8" s="53"/>
      <c r="O8" s="53"/>
      <c r="P8" s="53"/>
      <c r="Q8" s="53"/>
      <c r="R8" s="53"/>
      <c r="S8" s="53"/>
      <c r="T8" s="62"/>
      <c r="U8" s="62"/>
      <c r="V8" s="62"/>
    </row>
    <row r="9" spans="2:22" s="54" customFormat="1" ht="15" customHeight="1">
      <c r="B9" s="63" t="s">
        <v>24</v>
      </c>
      <c r="C9" s="64"/>
      <c r="D9" s="65">
        <f>D90</f>
        <v>0</v>
      </c>
      <c r="E9" s="58"/>
      <c r="F9" s="350"/>
      <c r="G9" s="58"/>
      <c r="H9" s="58"/>
      <c r="I9" s="66"/>
      <c r="K9" s="52"/>
      <c r="L9" s="52"/>
      <c r="M9" s="52"/>
      <c r="N9" s="52"/>
      <c r="O9" s="52"/>
      <c r="P9" s="52"/>
      <c r="Q9" s="52"/>
      <c r="R9" s="52"/>
      <c r="S9" s="52"/>
      <c r="T9" s="62"/>
      <c r="U9" s="62"/>
      <c r="V9" s="62"/>
    </row>
    <row r="10" spans="2:22" s="54" customFormat="1" ht="15" customHeight="1">
      <c r="B10" s="63" t="s">
        <v>12</v>
      </c>
      <c r="C10" s="64"/>
      <c r="D10" s="67">
        <f>D197</f>
        <v>0</v>
      </c>
      <c r="E10" s="58"/>
      <c r="F10" s="350"/>
      <c r="G10" s="58"/>
      <c r="H10" s="58"/>
      <c r="I10" s="66"/>
      <c r="J10" s="77"/>
      <c r="K10" s="52"/>
      <c r="L10" s="52"/>
      <c r="M10" s="52"/>
      <c r="N10" s="52"/>
      <c r="O10" s="52"/>
      <c r="P10" s="52"/>
      <c r="Q10" s="52"/>
      <c r="R10" s="52"/>
      <c r="S10" s="52"/>
      <c r="T10" s="62"/>
      <c r="U10" s="62"/>
      <c r="V10" s="62"/>
    </row>
    <row r="11" spans="2:22" s="54" customFormat="1" ht="15" customHeight="1">
      <c r="B11" s="63" t="s">
        <v>23</v>
      </c>
      <c r="C11" s="64"/>
      <c r="D11" s="68">
        <f>D9-D10</f>
        <v>0</v>
      </c>
      <c r="E11" s="58"/>
      <c r="F11" s="350"/>
      <c r="G11" s="58"/>
      <c r="H11" s="58"/>
      <c r="I11" s="66"/>
      <c r="J11" s="77"/>
      <c r="K11" s="52"/>
      <c r="L11" s="52"/>
      <c r="M11" s="52"/>
      <c r="N11" s="52"/>
      <c r="O11" s="52"/>
      <c r="P11" s="52"/>
      <c r="Q11" s="52"/>
      <c r="R11" s="52"/>
      <c r="S11" s="52"/>
      <c r="T11" s="62"/>
      <c r="U11" s="62"/>
      <c r="V11" s="62"/>
    </row>
    <row r="12" spans="2:22" s="54" customFormat="1" ht="15" customHeight="1">
      <c r="B12" s="63" t="s">
        <v>172</v>
      </c>
      <c r="C12" s="64"/>
      <c r="D12" s="68"/>
      <c r="E12" s="58"/>
      <c r="F12" s="350"/>
      <c r="G12" s="58"/>
      <c r="H12" s="58"/>
      <c r="I12" s="66"/>
      <c r="J12" s="77"/>
      <c r="K12" s="52"/>
      <c r="L12" s="52"/>
      <c r="M12" s="52"/>
      <c r="N12" s="52"/>
      <c r="O12" s="52"/>
      <c r="P12" s="52"/>
      <c r="Q12" s="52"/>
      <c r="R12" s="52"/>
      <c r="S12" s="52"/>
      <c r="T12" s="62"/>
      <c r="U12" s="62"/>
      <c r="V12" s="62"/>
    </row>
    <row r="13" spans="2:22" s="54" customFormat="1" ht="15" customHeight="1">
      <c r="B13" s="70" t="s">
        <v>173</v>
      </c>
      <c r="C13" s="71"/>
      <c r="D13" s="68"/>
      <c r="E13" s="58"/>
      <c r="F13" s="350"/>
      <c r="G13" s="58"/>
      <c r="H13" s="58"/>
      <c r="I13" s="66"/>
      <c r="J13" s="77"/>
      <c r="K13" s="52"/>
      <c r="L13" s="52"/>
      <c r="M13" s="52"/>
      <c r="N13" s="52"/>
      <c r="O13" s="52"/>
      <c r="P13" s="52"/>
      <c r="Q13" s="52"/>
      <c r="R13" s="52"/>
      <c r="S13" s="52"/>
      <c r="T13" s="62"/>
      <c r="U13" s="62"/>
      <c r="V13" s="62"/>
    </row>
    <row r="14" spans="2:22" s="54" customFormat="1" ht="15" customHeight="1">
      <c r="B14" s="72"/>
      <c r="C14" s="53"/>
      <c r="D14" s="53"/>
      <c r="E14" s="58"/>
      <c r="F14" s="218"/>
      <c r="G14" s="58"/>
      <c r="H14" s="58"/>
      <c r="I14" s="53"/>
      <c r="J14" s="52"/>
      <c r="K14" s="52"/>
      <c r="L14" s="52"/>
      <c r="M14" s="52"/>
      <c r="N14" s="52"/>
      <c r="O14" s="52"/>
      <c r="P14" s="52"/>
      <c r="Q14" s="52"/>
      <c r="R14" s="52"/>
      <c r="S14" s="52"/>
      <c r="T14" s="62"/>
      <c r="U14" s="62"/>
      <c r="V14" s="62"/>
    </row>
    <row r="15" spans="2:22" s="54" customFormat="1" ht="15" customHeight="1">
      <c r="B15" s="72"/>
      <c r="C15" s="53"/>
      <c r="D15" s="407" t="s">
        <v>201</v>
      </c>
      <c r="E15" s="58"/>
      <c r="F15" s="218"/>
      <c r="G15" s="58"/>
      <c r="H15" s="58"/>
      <c r="I15" s="66"/>
      <c r="J15" s="77"/>
      <c r="K15" s="52"/>
      <c r="L15" s="52"/>
      <c r="M15" s="52"/>
      <c r="N15" s="52"/>
      <c r="O15" s="52"/>
      <c r="P15" s="52"/>
      <c r="Q15" s="52"/>
      <c r="R15" s="52"/>
      <c r="S15" s="52"/>
      <c r="T15" s="62"/>
      <c r="U15" s="62"/>
      <c r="V15" s="62"/>
    </row>
    <row r="16" spans="2:22" s="54" customFormat="1" ht="15" customHeight="1">
      <c r="B16" s="72"/>
      <c r="C16" s="53"/>
      <c r="D16" s="408"/>
      <c r="E16" s="58"/>
      <c r="F16" s="218"/>
      <c r="G16" s="58"/>
      <c r="H16" s="58"/>
      <c r="I16" s="66"/>
      <c r="J16" s="77"/>
      <c r="K16" s="52"/>
      <c r="L16" s="52"/>
      <c r="M16" s="52"/>
      <c r="N16" s="52"/>
      <c r="O16" s="52"/>
      <c r="P16" s="52"/>
      <c r="Q16" s="52"/>
      <c r="R16" s="52"/>
      <c r="S16" s="52"/>
      <c r="T16" s="62"/>
      <c r="U16" s="62"/>
      <c r="V16" s="62"/>
    </row>
    <row r="17" spans="2:19" s="54" customFormat="1" ht="15" customHeight="1">
      <c r="B17" s="77"/>
      <c r="C17" s="78"/>
      <c r="D17" s="78"/>
      <c r="E17" s="219"/>
      <c r="F17" s="280"/>
      <c r="G17" s="219"/>
      <c r="H17" s="219"/>
      <c r="I17" s="78"/>
    </row>
    <row r="18" spans="2:19" s="54" customFormat="1" ht="15" customHeight="1">
      <c r="B18" s="347" t="str">
        <f>Assumptions!C19</f>
        <v>REVENUE</v>
      </c>
      <c r="C18" s="53"/>
      <c r="D18" s="79"/>
      <c r="E18" s="220"/>
      <c r="F18" s="221"/>
      <c r="G18" s="220"/>
      <c r="H18" s="220"/>
      <c r="I18" s="80"/>
      <c r="J18" s="77"/>
      <c r="K18" s="52"/>
      <c r="L18" s="52"/>
      <c r="M18" s="52"/>
      <c r="N18" s="52"/>
      <c r="O18" s="52"/>
      <c r="P18" s="52"/>
      <c r="Q18" s="52"/>
      <c r="R18" s="52"/>
      <c r="S18" s="52"/>
    </row>
    <row r="19" spans="2:19" s="54" customFormat="1" ht="15" customHeight="1">
      <c r="B19" s="81" t="str">
        <f>Assumptions!C20</f>
        <v>1000 - LOCAL TAXES</v>
      </c>
      <c r="C19" s="52"/>
      <c r="D19" s="79"/>
      <c r="E19" s="220"/>
      <c r="F19" s="221"/>
      <c r="G19" s="220"/>
      <c r="H19" s="220"/>
      <c r="I19" s="82"/>
      <c r="J19" s="77"/>
      <c r="K19" s="52"/>
      <c r="L19" s="52"/>
      <c r="M19" s="52"/>
      <c r="N19" s="52"/>
      <c r="O19" s="52"/>
      <c r="P19" s="52"/>
      <c r="Q19" s="52"/>
      <c r="R19" s="52"/>
      <c r="S19" s="52"/>
    </row>
    <row r="20" spans="2:19" s="54" customFormat="1" ht="15" customHeight="1">
      <c r="B20" s="83" t="str">
        <f>Assumptions!C21</f>
        <v>1100 - Local Property Tax</v>
      </c>
      <c r="C20" s="53"/>
      <c r="D20" s="227">
        <v>0</v>
      </c>
      <c r="E20" s="98"/>
      <c r="F20" s="282"/>
      <c r="G20" s="98"/>
      <c r="H20" s="98"/>
      <c r="I20" s="80"/>
      <c r="J20" s="77"/>
      <c r="K20" s="85"/>
      <c r="L20" s="85"/>
      <c r="M20" s="85"/>
      <c r="N20" s="85"/>
      <c r="O20" s="85"/>
      <c r="P20" s="85"/>
      <c r="Q20" s="85"/>
      <c r="R20" s="85"/>
      <c r="S20" s="85"/>
    </row>
    <row r="21" spans="2:19" s="54" customFormat="1" ht="15" customHeight="1">
      <c r="B21" s="83" t="str">
        <f>Assumptions!C22</f>
        <v>1900 - Other Local Taxes</v>
      </c>
      <c r="C21" s="53"/>
      <c r="D21" s="227">
        <v>0</v>
      </c>
      <c r="E21" s="98"/>
      <c r="F21" s="282"/>
      <c r="G21" s="98"/>
      <c r="H21" s="98"/>
      <c r="I21" s="80"/>
      <c r="J21" s="77"/>
      <c r="K21" s="85"/>
      <c r="L21" s="85"/>
      <c r="M21" s="85"/>
      <c r="N21" s="85"/>
      <c r="O21" s="85"/>
      <c r="P21" s="85"/>
      <c r="Q21" s="85"/>
      <c r="R21" s="85"/>
      <c r="S21" s="85"/>
    </row>
    <row r="22" spans="2:19" s="54" customFormat="1" ht="15" customHeight="1">
      <c r="B22" s="83" t="str">
        <f>Assumptions!C23</f>
        <v>Custom LOCAL TAXES</v>
      </c>
      <c r="C22" s="53"/>
      <c r="D22" s="227">
        <v>0</v>
      </c>
      <c r="E22" s="98"/>
      <c r="F22" s="282"/>
      <c r="G22" s="98"/>
      <c r="H22" s="98"/>
      <c r="I22" s="80"/>
      <c r="J22" s="77"/>
      <c r="K22" s="85"/>
      <c r="L22" s="85"/>
      <c r="M22" s="85"/>
      <c r="N22" s="85"/>
      <c r="O22" s="85"/>
      <c r="P22" s="85"/>
      <c r="Q22" s="85"/>
      <c r="R22" s="85"/>
      <c r="S22" s="85"/>
    </row>
    <row r="23" spans="2:19" s="54" customFormat="1" ht="15" customHeight="1" thickBot="1">
      <c r="B23" s="81" t="str">
        <f>Assumptions!C24</f>
        <v>TOTAL LOCAL TAXES</v>
      </c>
      <c r="C23" s="53"/>
      <c r="D23" s="307">
        <f>SUM(D20:D22)</f>
        <v>0</v>
      </c>
      <c r="E23" s="98"/>
      <c r="F23" s="282"/>
      <c r="G23" s="98"/>
      <c r="H23" s="98"/>
      <c r="I23" s="80"/>
      <c r="J23" s="77"/>
      <c r="K23" s="85"/>
      <c r="L23" s="85"/>
      <c r="M23" s="85"/>
      <c r="N23" s="85"/>
      <c r="O23" s="85"/>
      <c r="P23" s="85"/>
      <c r="Q23" s="85"/>
      <c r="R23" s="85"/>
      <c r="S23" s="85"/>
    </row>
    <row r="24" spans="2:19" s="54" customFormat="1" ht="6" customHeight="1" thickTop="1">
      <c r="B24" s="90"/>
      <c r="C24" s="53"/>
      <c r="D24" s="79"/>
      <c r="E24" s="98"/>
      <c r="F24" s="282"/>
      <c r="G24" s="98"/>
      <c r="H24" s="98"/>
      <c r="I24" s="80"/>
      <c r="J24" s="77"/>
      <c r="K24" s="85"/>
      <c r="L24" s="85"/>
      <c r="M24" s="85"/>
      <c r="N24" s="85"/>
      <c r="O24" s="85"/>
      <c r="P24" s="85"/>
      <c r="Q24" s="85"/>
      <c r="R24" s="85"/>
      <c r="S24" s="85"/>
    </row>
    <row r="25" spans="2:19" s="54" customFormat="1" ht="15" customHeight="1">
      <c r="B25" s="81" t="str">
        <f>Assumptions!C26</f>
        <v>2000 - LOCAL SUPPORT - NON-TAX</v>
      </c>
      <c r="C25" s="53"/>
      <c r="D25" s="79"/>
      <c r="E25" s="98"/>
      <c r="F25" s="282"/>
      <c r="G25" s="98"/>
      <c r="H25" s="98"/>
      <c r="I25" s="80"/>
      <c r="J25" s="77"/>
      <c r="K25" s="85"/>
      <c r="L25" s="85"/>
      <c r="M25" s="85"/>
      <c r="N25" s="85"/>
      <c r="O25" s="85"/>
      <c r="P25" s="85"/>
      <c r="Q25" s="85"/>
      <c r="R25" s="85"/>
      <c r="S25" s="85"/>
    </row>
    <row r="26" spans="2:19" s="54" customFormat="1" ht="15" customHeight="1">
      <c r="B26" s="83" t="str">
        <f>Assumptions!C27</f>
        <v xml:space="preserve">2200 - Sale Of Goods, Supplies, &amp; Services - Unassigned </v>
      </c>
      <c r="C26" s="53"/>
      <c r="D26" s="227">
        <v>0</v>
      </c>
      <c r="E26" s="98"/>
      <c r="F26" s="282"/>
      <c r="G26" s="98"/>
      <c r="H26" s="98"/>
      <c r="I26" s="80"/>
      <c r="J26" s="77"/>
      <c r="K26" s="85"/>
      <c r="L26" s="85"/>
      <c r="M26" s="85"/>
      <c r="N26" s="85"/>
      <c r="O26" s="85"/>
      <c r="P26" s="85"/>
      <c r="Q26" s="85"/>
      <c r="R26" s="85"/>
      <c r="S26" s="85"/>
    </row>
    <row r="27" spans="2:19" s="54" customFormat="1" ht="15" customHeight="1">
      <c r="B27" s="83" t="str">
        <f>Assumptions!C28</f>
        <v xml:space="preserve">2500 - Gifts Grants, and Donations (Local)   </v>
      </c>
      <c r="C27" s="53"/>
      <c r="D27" s="227">
        <v>0</v>
      </c>
      <c r="E27" s="98"/>
      <c r="F27" s="282"/>
      <c r="G27" s="98"/>
      <c r="H27" s="98"/>
      <c r="I27" s="80"/>
      <c r="J27" s="77"/>
      <c r="K27" s="85"/>
      <c r="L27" s="85"/>
      <c r="M27" s="85"/>
      <c r="N27" s="85"/>
      <c r="O27" s="85"/>
      <c r="P27" s="85"/>
      <c r="Q27" s="85"/>
      <c r="R27" s="85"/>
      <c r="S27" s="85"/>
    </row>
    <row r="28" spans="2:19" s="54" customFormat="1" ht="15" customHeight="1">
      <c r="B28" s="83" t="str">
        <f>Assumptions!C29</f>
        <v>Custom LOCAL SUPPORT - NON-TAX</v>
      </c>
      <c r="C28" s="53"/>
      <c r="D28" s="227">
        <v>0</v>
      </c>
      <c r="E28" s="98"/>
      <c r="F28" s="282"/>
      <c r="G28" s="98"/>
      <c r="H28" s="98"/>
      <c r="I28" s="80"/>
      <c r="J28" s="77"/>
      <c r="K28" s="85"/>
      <c r="L28" s="85"/>
      <c r="M28" s="85"/>
      <c r="N28" s="85"/>
      <c r="O28" s="85"/>
      <c r="P28" s="85"/>
      <c r="Q28" s="85"/>
      <c r="R28" s="85"/>
      <c r="S28" s="85"/>
    </row>
    <row r="29" spans="2:19" s="54" customFormat="1" ht="15" customHeight="1" thickBot="1">
      <c r="B29" s="81" t="str">
        <f>Assumptions!C30</f>
        <v>TOTAL LOCAL SUPPORT - NON-TAX</v>
      </c>
      <c r="C29" s="53"/>
      <c r="D29" s="307">
        <f>SUM(D26:D28)</f>
        <v>0</v>
      </c>
      <c r="E29" s="98"/>
      <c r="F29" s="282"/>
      <c r="G29" s="98"/>
      <c r="H29" s="98"/>
      <c r="I29" s="80"/>
      <c r="J29" s="77"/>
      <c r="K29" s="85"/>
      <c r="L29" s="85"/>
      <c r="M29" s="85"/>
      <c r="N29" s="85"/>
      <c r="O29" s="85"/>
      <c r="P29" s="85"/>
      <c r="Q29" s="85"/>
      <c r="R29" s="85"/>
      <c r="S29" s="85"/>
    </row>
    <row r="30" spans="2:19" s="54" customFormat="1" ht="6" customHeight="1" thickTop="1">
      <c r="B30" s="90"/>
      <c r="C30" s="53"/>
      <c r="D30" s="79"/>
      <c r="E30" s="98"/>
      <c r="F30" s="282"/>
      <c r="G30" s="98"/>
      <c r="H30" s="98"/>
      <c r="I30" s="80"/>
      <c r="J30" s="77"/>
      <c r="K30" s="85"/>
      <c r="L30" s="85"/>
      <c r="M30" s="85"/>
      <c r="N30" s="85"/>
      <c r="O30" s="85"/>
      <c r="P30" s="85"/>
      <c r="Q30" s="85"/>
      <c r="R30" s="85"/>
      <c r="S30" s="85"/>
    </row>
    <row r="31" spans="2:19" s="54" customFormat="1" ht="15" customHeight="1">
      <c r="B31" s="81" t="str">
        <f>Assumptions!C32</f>
        <v>3000 - STATE REVENUE - GENERAL PURPOSE</v>
      </c>
      <c r="C31" s="53"/>
      <c r="D31" s="79"/>
      <c r="E31" s="98"/>
      <c r="F31" s="282"/>
      <c r="G31" s="98"/>
      <c r="H31" s="98"/>
      <c r="I31" s="80"/>
      <c r="J31" s="77"/>
      <c r="K31" s="85"/>
      <c r="L31" s="85"/>
      <c r="M31" s="85"/>
      <c r="N31" s="85"/>
      <c r="O31" s="85"/>
      <c r="P31" s="85"/>
      <c r="Q31" s="85"/>
      <c r="R31" s="85"/>
      <c r="S31" s="85"/>
    </row>
    <row r="32" spans="2:19" s="54" customFormat="1" ht="15" customHeight="1">
      <c r="B32" s="83" t="str">
        <f>Assumptions!C33</f>
        <v xml:space="preserve">3100 - Apportionment   </v>
      </c>
      <c r="C32" s="53"/>
      <c r="D32" s="227">
        <v>0</v>
      </c>
      <c r="E32" s="98"/>
      <c r="F32" s="282"/>
      <c r="G32" s="98"/>
      <c r="H32" s="98"/>
      <c r="I32" s="80"/>
      <c r="J32" s="77"/>
      <c r="K32" s="85"/>
      <c r="L32" s="85"/>
      <c r="M32" s="85"/>
      <c r="N32" s="85"/>
      <c r="O32" s="85"/>
      <c r="P32" s="85"/>
      <c r="Q32" s="85"/>
      <c r="R32" s="85"/>
      <c r="S32" s="85"/>
    </row>
    <row r="33" spans="2:19" s="54" customFormat="1" ht="15" customHeight="1">
      <c r="B33" s="83" t="str">
        <f>Assumptions!C34</f>
        <v xml:space="preserve">3121 - Special Education - General Apportionment  </v>
      </c>
      <c r="C33" s="53"/>
      <c r="D33" s="227">
        <v>0</v>
      </c>
      <c r="E33" s="98"/>
      <c r="F33" s="282"/>
      <c r="G33" s="98"/>
      <c r="H33" s="98"/>
      <c r="I33" s="80"/>
      <c r="J33" s="77"/>
      <c r="K33" s="85"/>
      <c r="L33" s="85"/>
      <c r="M33" s="85"/>
      <c r="N33" s="85"/>
      <c r="O33" s="85"/>
      <c r="P33" s="85"/>
      <c r="Q33" s="85"/>
      <c r="R33" s="85"/>
      <c r="S33" s="85"/>
    </row>
    <row r="34" spans="2:19" s="54" customFormat="1" ht="15" customHeight="1">
      <c r="B34" s="83" t="str">
        <f>Assumptions!C35</f>
        <v>Custom STATE REVENUE - GENERAL PURPOSE</v>
      </c>
      <c r="C34" s="53"/>
      <c r="D34" s="227">
        <v>0</v>
      </c>
      <c r="E34" s="98"/>
      <c r="F34" s="282"/>
      <c r="G34" s="98"/>
      <c r="H34" s="98"/>
      <c r="I34" s="80"/>
      <c r="J34" s="77"/>
      <c r="K34" s="85"/>
      <c r="L34" s="85"/>
      <c r="M34" s="85"/>
      <c r="N34" s="85"/>
      <c r="O34" s="85"/>
      <c r="P34" s="85"/>
      <c r="Q34" s="85"/>
      <c r="R34" s="85"/>
      <c r="S34" s="85"/>
    </row>
    <row r="35" spans="2:19" s="54" customFormat="1" ht="15" customHeight="1" thickBot="1">
      <c r="B35" s="81" t="str">
        <f>Assumptions!C36</f>
        <v>TOTAL STATE REVENUE - GENERAL PURPOSE</v>
      </c>
      <c r="C35" s="53"/>
      <c r="D35" s="307">
        <f>SUM(D32:D34)</f>
        <v>0</v>
      </c>
      <c r="E35" s="98"/>
      <c r="F35" s="282"/>
      <c r="G35" s="98"/>
      <c r="H35" s="98"/>
      <c r="I35" s="80"/>
      <c r="J35" s="77"/>
      <c r="K35" s="85"/>
      <c r="L35" s="85"/>
      <c r="M35" s="85"/>
      <c r="N35" s="85"/>
      <c r="O35" s="85"/>
      <c r="P35" s="85"/>
      <c r="Q35" s="85"/>
      <c r="R35" s="85"/>
      <c r="S35" s="85"/>
    </row>
    <row r="36" spans="2:19" s="54" customFormat="1" ht="6" customHeight="1" thickTop="1">
      <c r="B36" s="90"/>
      <c r="C36" s="53"/>
      <c r="D36" s="79"/>
      <c r="E36" s="98"/>
      <c r="F36" s="282"/>
      <c r="G36" s="98"/>
      <c r="H36" s="98"/>
      <c r="I36" s="80"/>
      <c r="J36" s="77"/>
      <c r="K36" s="85"/>
      <c r="L36" s="85"/>
      <c r="M36" s="85"/>
      <c r="N36" s="85"/>
      <c r="O36" s="85"/>
      <c r="P36" s="85"/>
      <c r="Q36" s="85"/>
      <c r="R36" s="85"/>
      <c r="S36" s="85"/>
    </row>
    <row r="37" spans="2:19" s="54" customFormat="1" ht="15" customHeight="1">
      <c r="B37" s="81" t="str">
        <f>Assumptions!C38</f>
        <v>4000 - STATE REVENUE - SPECIAL PURPOSE</v>
      </c>
      <c r="C37" s="53"/>
      <c r="D37" s="79"/>
      <c r="E37" s="98"/>
      <c r="F37" s="282"/>
      <c r="G37" s="98"/>
      <c r="H37" s="98"/>
      <c r="I37" s="80"/>
      <c r="J37" s="77"/>
      <c r="K37" s="85"/>
      <c r="L37" s="85"/>
      <c r="M37" s="85"/>
      <c r="N37" s="85"/>
      <c r="O37" s="85"/>
      <c r="P37" s="85"/>
      <c r="Q37" s="85"/>
      <c r="R37" s="85"/>
      <c r="S37" s="85"/>
    </row>
    <row r="38" spans="2:19" s="54" customFormat="1" ht="15" customHeight="1">
      <c r="B38" s="83" t="str">
        <f>Assumptions!C39</f>
        <v xml:space="preserve">4121 - Special Education - State   </v>
      </c>
      <c r="C38" s="53"/>
      <c r="D38" s="227">
        <v>0</v>
      </c>
      <c r="E38" s="98"/>
      <c r="F38" s="282"/>
      <c r="G38" s="98"/>
      <c r="H38" s="98"/>
      <c r="I38" s="80"/>
      <c r="J38" s="77"/>
      <c r="K38" s="85"/>
      <c r="L38" s="85"/>
      <c r="M38" s="85"/>
      <c r="N38" s="85"/>
      <c r="O38" s="85"/>
      <c r="P38" s="85"/>
      <c r="Q38" s="85"/>
      <c r="R38" s="85"/>
      <c r="S38" s="85"/>
    </row>
    <row r="39" spans="2:19" s="54" customFormat="1" ht="15" customHeight="1">
      <c r="B39" s="83" t="str">
        <f>Assumptions!C40</f>
        <v xml:space="preserve">4155 - Learning Assistance   </v>
      </c>
      <c r="C39" s="53"/>
      <c r="D39" s="227">
        <v>0</v>
      </c>
      <c r="E39" s="98"/>
      <c r="F39" s="282"/>
      <c r="G39" s="98"/>
      <c r="H39" s="98"/>
      <c r="I39" s="80"/>
      <c r="J39" s="77"/>
      <c r="K39" s="85"/>
      <c r="L39" s="85"/>
      <c r="M39" s="85"/>
      <c r="N39" s="85"/>
      <c r="O39" s="85"/>
      <c r="P39" s="85"/>
      <c r="Q39" s="85"/>
      <c r="R39" s="85"/>
      <c r="S39" s="85"/>
    </row>
    <row r="40" spans="2:19" s="54" customFormat="1" ht="15" customHeight="1">
      <c r="B40" s="83" t="str">
        <f>Assumptions!C41</f>
        <v>4165 - Transitional Bilingual</v>
      </c>
      <c r="C40" s="53"/>
      <c r="D40" s="227">
        <v>0</v>
      </c>
      <c r="E40" s="98"/>
      <c r="F40" s="282"/>
      <c r="G40" s="98"/>
      <c r="H40" s="98"/>
      <c r="I40" s="80"/>
      <c r="J40" s="77"/>
      <c r="K40" s="85"/>
      <c r="L40" s="85"/>
      <c r="M40" s="85"/>
      <c r="N40" s="85"/>
      <c r="O40" s="85"/>
      <c r="P40" s="85"/>
      <c r="Q40" s="85"/>
      <c r="R40" s="85"/>
      <c r="S40" s="85"/>
    </row>
    <row r="41" spans="2:19" s="54" customFormat="1" ht="15" customHeight="1">
      <c r="B41" s="83" t="str">
        <f>Assumptions!C42</f>
        <v xml:space="preserve">4174 - Highly Capable      </v>
      </c>
      <c r="C41" s="53"/>
      <c r="D41" s="227">
        <v>0</v>
      </c>
      <c r="E41" s="98"/>
      <c r="F41" s="282"/>
      <c r="G41" s="98"/>
      <c r="H41" s="98"/>
      <c r="I41" s="80"/>
      <c r="J41" s="77"/>
      <c r="K41" s="85"/>
      <c r="L41" s="85"/>
      <c r="M41" s="85"/>
      <c r="N41" s="85"/>
      <c r="O41" s="85"/>
      <c r="P41" s="85"/>
      <c r="Q41" s="85"/>
      <c r="R41" s="85"/>
      <c r="S41" s="85"/>
    </row>
    <row r="42" spans="2:19" s="54" customFormat="1" ht="15" customHeight="1">
      <c r="B42" s="83" t="str">
        <f>Assumptions!C43</f>
        <v xml:space="preserve">4198 - School Food Service      </v>
      </c>
      <c r="C42" s="53"/>
      <c r="D42" s="227">
        <v>0</v>
      </c>
      <c r="E42" s="98"/>
      <c r="F42" s="282"/>
      <c r="G42" s="98"/>
      <c r="H42" s="98"/>
      <c r="I42" s="80"/>
      <c r="J42" s="77"/>
      <c r="K42" s="85"/>
      <c r="L42" s="85"/>
      <c r="M42" s="85"/>
      <c r="N42" s="85"/>
      <c r="O42" s="85"/>
      <c r="P42" s="85"/>
      <c r="Q42" s="85"/>
      <c r="R42" s="85"/>
      <c r="S42" s="85"/>
    </row>
    <row r="43" spans="2:19" s="54" customFormat="1" ht="15" customHeight="1">
      <c r="B43" s="83" t="str">
        <f>Assumptions!C44</f>
        <v>4199 - Transportation - Operations</v>
      </c>
      <c r="C43" s="53"/>
      <c r="D43" s="227">
        <v>0</v>
      </c>
      <c r="E43" s="98"/>
      <c r="F43" s="282"/>
      <c r="G43" s="98"/>
      <c r="H43" s="98"/>
      <c r="I43" s="80"/>
      <c r="J43" s="77"/>
      <c r="K43" s="85"/>
      <c r="L43" s="85"/>
      <c r="M43" s="85"/>
      <c r="N43" s="85"/>
      <c r="O43" s="85"/>
      <c r="P43" s="85"/>
      <c r="Q43" s="85"/>
      <c r="R43" s="85"/>
      <c r="S43" s="85"/>
    </row>
    <row r="44" spans="2:19" s="54" customFormat="1" ht="15" customHeight="1">
      <c r="B44" s="83" t="str">
        <f>Assumptions!C45</f>
        <v>Custom STATE REVENUE - SPECIAL PURPOSE</v>
      </c>
      <c r="C44" s="53"/>
      <c r="D44" s="227">
        <v>0</v>
      </c>
      <c r="E44" s="98"/>
      <c r="F44" s="282"/>
      <c r="G44" s="98"/>
      <c r="H44" s="98"/>
      <c r="I44" s="80"/>
      <c r="J44" s="77"/>
      <c r="K44" s="85"/>
      <c r="L44" s="85"/>
      <c r="M44" s="85"/>
      <c r="N44" s="85"/>
      <c r="O44" s="85"/>
      <c r="P44" s="85"/>
      <c r="Q44" s="85"/>
      <c r="R44" s="85"/>
      <c r="S44" s="85"/>
    </row>
    <row r="45" spans="2:19" s="54" customFormat="1" ht="15" customHeight="1" thickBot="1">
      <c r="B45" s="81" t="str">
        <f>Assumptions!C46</f>
        <v>TOTAL STATE REVENUE - SPECIAL PURPOSE</v>
      </c>
      <c r="C45" s="53"/>
      <c r="D45" s="307">
        <f>SUM(D38:D44)</f>
        <v>0</v>
      </c>
      <c r="E45" s="98"/>
      <c r="F45" s="282"/>
      <c r="G45" s="98"/>
      <c r="H45" s="98"/>
      <c r="I45" s="80"/>
      <c r="J45" s="77"/>
      <c r="K45" s="85"/>
      <c r="L45" s="85"/>
      <c r="M45" s="85"/>
      <c r="N45" s="85"/>
      <c r="O45" s="85"/>
      <c r="P45" s="85"/>
      <c r="Q45" s="85"/>
      <c r="R45" s="85"/>
      <c r="S45" s="85"/>
    </row>
    <row r="46" spans="2:19" s="54" customFormat="1" ht="6" customHeight="1" thickTop="1">
      <c r="B46" s="90"/>
      <c r="C46" s="53"/>
      <c r="D46" s="79"/>
      <c r="E46" s="98"/>
      <c r="F46" s="282"/>
      <c r="G46" s="98"/>
      <c r="H46" s="98"/>
      <c r="I46" s="80"/>
      <c r="J46" s="77"/>
      <c r="K46" s="85"/>
      <c r="L46" s="85"/>
      <c r="M46" s="85"/>
      <c r="N46" s="85"/>
      <c r="O46" s="85"/>
      <c r="P46" s="85"/>
      <c r="Q46" s="85"/>
      <c r="R46" s="85"/>
      <c r="S46" s="85"/>
    </row>
    <row r="47" spans="2:19" s="54" customFormat="1" ht="15" customHeight="1">
      <c r="B47" s="81" t="str">
        <f>Assumptions!C48</f>
        <v>5000 - FEDERAL REVENUE - GENERAL PURPOSE</v>
      </c>
      <c r="C47" s="53"/>
      <c r="D47" s="79"/>
      <c r="E47" s="98"/>
      <c r="F47" s="282"/>
      <c r="G47" s="98"/>
      <c r="H47" s="98"/>
      <c r="I47" s="80"/>
      <c r="J47" s="77"/>
      <c r="K47" s="85"/>
      <c r="L47" s="85"/>
      <c r="M47" s="85"/>
      <c r="N47" s="85"/>
      <c r="O47" s="85"/>
      <c r="P47" s="85"/>
      <c r="Q47" s="85"/>
      <c r="R47" s="85"/>
      <c r="S47" s="85"/>
    </row>
    <row r="48" spans="2:19" s="54" customFormat="1" ht="15" customHeight="1">
      <c r="B48" s="83" t="str">
        <f>Assumptions!C49</f>
        <v xml:space="preserve">5200 - General Purpose Direct Fed. Grants - Unassigned  </v>
      </c>
      <c r="C48" s="53"/>
      <c r="D48" s="227">
        <v>0</v>
      </c>
      <c r="E48" s="98"/>
      <c r="F48" s="282"/>
      <c r="G48" s="98"/>
      <c r="H48" s="98"/>
      <c r="I48" s="80"/>
      <c r="J48" s="77"/>
      <c r="K48" s="85"/>
      <c r="L48" s="85"/>
      <c r="M48" s="85"/>
      <c r="N48" s="85"/>
      <c r="O48" s="85"/>
      <c r="P48" s="85"/>
      <c r="Q48" s="85"/>
      <c r="R48" s="85"/>
      <c r="S48" s="85"/>
    </row>
    <row r="49" spans="2:19" s="54" customFormat="1" ht="15" customHeight="1">
      <c r="B49" s="328" t="str">
        <f>Assumptions!C50</f>
        <v>Title I</v>
      </c>
      <c r="C49" s="53"/>
      <c r="D49" s="227">
        <v>0</v>
      </c>
      <c r="E49" s="98"/>
      <c r="F49" s="282"/>
      <c r="G49" s="98"/>
      <c r="H49" s="98"/>
      <c r="I49" s="80"/>
      <c r="J49" s="77"/>
      <c r="K49" s="52"/>
      <c r="L49" s="52"/>
      <c r="M49" s="52"/>
      <c r="N49" s="52"/>
      <c r="O49" s="52"/>
      <c r="P49" s="52"/>
      <c r="Q49" s="52"/>
      <c r="R49" s="52"/>
      <c r="S49" s="52"/>
    </row>
    <row r="50" spans="2:19" s="54" customFormat="1" ht="15" customHeight="1">
      <c r="B50" s="328" t="str">
        <f>Assumptions!C51</f>
        <v>Title II</v>
      </c>
      <c r="C50" s="53"/>
      <c r="D50" s="227">
        <v>0</v>
      </c>
      <c r="E50" s="98"/>
      <c r="F50" s="282"/>
      <c r="G50" s="98"/>
      <c r="H50" s="98"/>
      <c r="I50" s="80"/>
      <c r="J50" s="77"/>
      <c r="K50" s="52"/>
      <c r="L50" s="52"/>
      <c r="M50" s="52"/>
      <c r="N50" s="52"/>
      <c r="O50" s="52"/>
      <c r="P50" s="52"/>
      <c r="Q50" s="52"/>
      <c r="R50" s="52"/>
      <c r="S50" s="52"/>
    </row>
    <row r="51" spans="2:19" s="54" customFormat="1" ht="15" customHeight="1">
      <c r="B51" s="328" t="str">
        <f>Assumptions!C52</f>
        <v>Title III</v>
      </c>
      <c r="C51" s="53"/>
      <c r="D51" s="227">
        <v>0</v>
      </c>
      <c r="E51" s="98"/>
      <c r="F51" s="282"/>
      <c r="G51" s="98"/>
      <c r="H51" s="98"/>
      <c r="I51" s="80"/>
      <c r="J51" s="77"/>
      <c r="K51" s="52"/>
      <c r="L51" s="52"/>
      <c r="M51" s="52"/>
      <c r="N51" s="52"/>
      <c r="O51" s="52"/>
      <c r="P51" s="52"/>
      <c r="Q51" s="52"/>
      <c r="R51" s="52"/>
      <c r="S51" s="52"/>
    </row>
    <row r="52" spans="2:19" s="54" customFormat="1" ht="15" customHeight="1">
      <c r="B52" s="328" t="str">
        <f>Assumptions!C53</f>
        <v>IDEA Funding</v>
      </c>
      <c r="C52" s="53"/>
      <c r="D52" s="227">
        <v>0</v>
      </c>
      <c r="E52" s="98"/>
      <c r="F52" s="282"/>
      <c r="G52" s="98"/>
      <c r="H52" s="98"/>
      <c r="I52" s="80"/>
      <c r="J52" s="349"/>
      <c r="K52" s="52"/>
      <c r="L52" s="52"/>
      <c r="M52" s="52"/>
      <c r="N52" s="52"/>
      <c r="O52" s="52"/>
      <c r="P52" s="52"/>
      <c r="Q52" s="52"/>
      <c r="R52" s="52"/>
      <c r="S52" s="52"/>
    </row>
    <row r="53" spans="2:19" s="54" customFormat="1" ht="15" customHeight="1">
      <c r="B53" s="328" t="str">
        <f>Assumptions!C54</f>
        <v>CSP</v>
      </c>
      <c r="C53" s="53"/>
      <c r="D53" s="227">
        <v>0</v>
      </c>
      <c r="E53" s="98"/>
      <c r="F53" s="282"/>
      <c r="G53" s="98"/>
      <c r="H53" s="98"/>
      <c r="I53" s="80"/>
      <c r="J53" s="349"/>
      <c r="K53" s="52"/>
      <c r="L53" s="52"/>
      <c r="M53" s="52"/>
      <c r="N53" s="52"/>
      <c r="O53" s="52"/>
      <c r="P53" s="52"/>
      <c r="Q53" s="52"/>
      <c r="R53" s="52"/>
      <c r="S53" s="52"/>
    </row>
    <row r="54" spans="2:19" s="54" customFormat="1" ht="15" customHeight="1">
      <c r="B54" s="83" t="str">
        <f>Assumptions!C55</f>
        <v xml:space="preserve">Total 5200 - General Purpose Direct Fed. Grants - Unassigned  </v>
      </c>
      <c r="C54" s="53"/>
      <c r="D54" s="334">
        <f>SUM(D48:D53)</f>
        <v>0</v>
      </c>
      <c r="E54" s="98"/>
      <c r="F54" s="282"/>
      <c r="G54" s="98"/>
      <c r="H54" s="98"/>
      <c r="I54" s="80"/>
      <c r="J54" s="349"/>
      <c r="K54" s="52"/>
      <c r="L54" s="52"/>
      <c r="M54" s="52"/>
      <c r="N54" s="52"/>
      <c r="O54" s="52"/>
      <c r="P54" s="52"/>
      <c r="Q54" s="52"/>
      <c r="R54" s="52"/>
      <c r="S54" s="52"/>
    </row>
    <row r="55" spans="2:19" s="54" customFormat="1" ht="15" customHeight="1">
      <c r="B55" s="83" t="str">
        <f>Assumptions!C56</f>
        <v>Custom FEDERAL REVENUE - GENERAL PURPOSE</v>
      </c>
      <c r="C55" s="53"/>
      <c r="D55" s="227">
        <v>0</v>
      </c>
      <c r="E55" s="98"/>
      <c r="F55" s="282"/>
      <c r="G55" s="98"/>
      <c r="H55" s="98"/>
      <c r="I55" s="80"/>
      <c r="J55" s="349"/>
      <c r="K55" s="52"/>
      <c r="L55" s="52"/>
      <c r="M55" s="52"/>
      <c r="N55" s="52"/>
      <c r="O55" s="52"/>
      <c r="P55" s="52"/>
      <c r="Q55" s="52"/>
      <c r="R55" s="52"/>
      <c r="S55" s="52"/>
    </row>
    <row r="56" spans="2:19" s="54" customFormat="1" ht="15" customHeight="1" thickBot="1">
      <c r="B56" s="81" t="str">
        <f>Assumptions!C57</f>
        <v>TOTAL FEDERAL REVENUE - GENERAL PURPOSE</v>
      </c>
      <c r="C56" s="53"/>
      <c r="D56" s="307">
        <f>SUM(D54:D55)</f>
        <v>0</v>
      </c>
      <c r="E56" s="98"/>
      <c r="F56" s="282"/>
      <c r="G56" s="98"/>
      <c r="H56" s="98"/>
      <c r="I56" s="80"/>
      <c r="J56" s="349"/>
      <c r="K56" s="52"/>
      <c r="L56" s="52"/>
      <c r="M56" s="52"/>
      <c r="N56" s="52"/>
      <c r="O56" s="52"/>
      <c r="P56" s="52"/>
      <c r="Q56" s="52"/>
      <c r="R56" s="52"/>
      <c r="S56" s="52"/>
    </row>
    <row r="57" spans="2:19" s="54" customFormat="1" ht="6" customHeight="1" thickTop="1">
      <c r="B57" s="90"/>
      <c r="C57" s="53"/>
      <c r="D57" s="79"/>
      <c r="E57" s="96"/>
      <c r="F57" s="282"/>
      <c r="G57" s="96"/>
      <c r="H57" s="96"/>
      <c r="I57" s="80"/>
      <c r="J57" s="349"/>
      <c r="K57" s="52"/>
      <c r="L57" s="52"/>
      <c r="M57" s="52"/>
      <c r="N57" s="52"/>
      <c r="O57" s="52"/>
      <c r="P57" s="52"/>
      <c r="Q57" s="52"/>
      <c r="R57" s="52"/>
      <c r="S57" s="52"/>
    </row>
    <row r="58" spans="2:19" s="54" customFormat="1" ht="15" customHeight="1">
      <c r="B58" s="81" t="str">
        <f>Assumptions!C59</f>
        <v>6000 - FEDERAL REVENUE - SPECIAL PURPOSE</v>
      </c>
      <c r="C58" s="53"/>
      <c r="D58" s="79"/>
      <c r="E58" s="88"/>
      <c r="F58" s="351"/>
      <c r="G58" s="88"/>
      <c r="H58" s="88"/>
      <c r="I58" s="80"/>
      <c r="J58" s="86"/>
      <c r="K58" s="52"/>
      <c r="L58" s="52"/>
      <c r="M58" s="52"/>
      <c r="N58" s="52"/>
      <c r="O58" s="52"/>
      <c r="P58" s="52"/>
      <c r="Q58" s="52"/>
      <c r="R58" s="52"/>
      <c r="S58" s="52"/>
    </row>
    <row r="59" spans="2:19" s="54" customFormat="1" ht="15" customHeight="1">
      <c r="B59" s="83" t="str">
        <f>Assumptions!C60</f>
        <v xml:space="preserve">6100 - Special Purpose - OSPI Unassigned    </v>
      </c>
      <c r="C59" s="53"/>
      <c r="D59" s="227">
        <v>0</v>
      </c>
      <c r="E59" s="221"/>
      <c r="F59" s="282"/>
      <c r="G59" s="221"/>
      <c r="H59" s="221"/>
      <c r="I59" s="89"/>
      <c r="J59" s="349"/>
      <c r="K59" s="52"/>
      <c r="L59" s="52"/>
      <c r="M59" s="52"/>
      <c r="N59" s="52"/>
      <c r="O59" s="52"/>
      <c r="P59" s="52"/>
      <c r="Q59" s="52"/>
      <c r="R59" s="52"/>
      <c r="S59" s="52"/>
    </row>
    <row r="60" spans="2:19" s="54" customFormat="1" ht="15" customHeight="1">
      <c r="B60" s="83" t="str">
        <f>Assumptions!C61</f>
        <v xml:space="preserve">6198 - School Food Services     </v>
      </c>
      <c r="C60" s="53"/>
      <c r="D60" s="227">
        <v>0</v>
      </c>
      <c r="E60" s="98"/>
      <c r="F60" s="282"/>
      <c r="G60" s="98"/>
      <c r="H60" s="98"/>
      <c r="I60" s="80"/>
      <c r="J60" s="349"/>
      <c r="K60" s="52"/>
      <c r="L60" s="52"/>
      <c r="M60" s="52"/>
      <c r="N60" s="52"/>
      <c r="O60" s="52"/>
      <c r="P60" s="52"/>
      <c r="Q60" s="52"/>
      <c r="R60" s="52"/>
      <c r="S60" s="52"/>
    </row>
    <row r="61" spans="2:19" s="54" customFormat="1" ht="15" customHeight="1">
      <c r="B61" s="328" t="str">
        <f>Assumptions!C62</f>
        <v>Free Breakfast Reimbursement</v>
      </c>
      <c r="C61" s="53"/>
      <c r="D61" s="227">
        <v>0</v>
      </c>
      <c r="E61" s="98"/>
      <c r="F61" s="282"/>
      <c r="G61" s="98"/>
      <c r="H61" s="98"/>
      <c r="I61" s="80"/>
      <c r="J61" s="349"/>
      <c r="K61" s="52"/>
      <c r="L61" s="52"/>
      <c r="M61" s="52"/>
      <c r="N61" s="52"/>
      <c r="O61" s="52"/>
      <c r="P61" s="52"/>
      <c r="Q61" s="52"/>
      <c r="R61" s="52"/>
      <c r="S61" s="52"/>
    </row>
    <row r="62" spans="2:19" s="54" customFormat="1" ht="15" customHeight="1">
      <c r="B62" s="328" t="str">
        <f>Assumptions!C63</f>
        <v>Reduced Breakfast Reimbursement</v>
      </c>
      <c r="C62" s="53"/>
      <c r="D62" s="227">
        <v>0</v>
      </c>
      <c r="E62" s="98"/>
      <c r="F62" s="282"/>
      <c r="G62" s="98"/>
      <c r="H62" s="98"/>
      <c r="I62" s="80"/>
      <c r="J62" s="349"/>
      <c r="K62" s="52"/>
      <c r="L62" s="52"/>
      <c r="M62" s="52"/>
      <c r="N62" s="52"/>
      <c r="O62" s="52"/>
      <c r="P62" s="52"/>
      <c r="Q62" s="52"/>
      <c r="R62" s="52"/>
      <c r="S62" s="52"/>
    </row>
    <row r="63" spans="2:19" s="54" customFormat="1" ht="15" customHeight="1">
      <c r="B63" s="328" t="str">
        <f>Assumptions!C64</f>
        <v>Paid Breakfast Reimbursement</v>
      </c>
      <c r="C63" s="53"/>
      <c r="D63" s="227">
        <v>0</v>
      </c>
      <c r="E63" s="98"/>
      <c r="F63" s="282"/>
      <c r="G63" s="98"/>
      <c r="H63" s="98"/>
      <c r="I63" s="80"/>
      <c r="J63" s="349"/>
      <c r="K63" s="52"/>
      <c r="L63" s="52"/>
      <c r="M63" s="52"/>
      <c r="N63" s="52"/>
      <c r="O63" s="52"/>
      <c r="P63" s="52"/>
      <c r="Q63" s="52"/>
      <c r="R63" s="52"/>
      <c r="S63" s="52"/>
    </row>
    <row r="64" spans="2:19" s="54" customFormat="1" ht="15" customHeight="1">
      <c r="B64" s="328" t="str">
        <f>Assumptions!C65</f>
        <v xml:space="preserve">Free Lunch Reimbursement </v>
      </c>
      <c r="C64" s="53"/>
      <c r="D64" s="227">
        <v>0</v>
      </c>
      <c r="E64" s="98"/>
      <c r="F64" s="282"/>
      <c r="G64" s="98"/>
      <c r="H64" s="98"/>
      <c r="I64" s="80"/>
      <c r="J64" s="349"/>
      <c r="K64" s="52"/>
      <c r="L64" s="52"/>
      <c r="M64" s="52"/>
      <c r="N64" s="52"/>
      <c r="O64" s="52"/>
      <c r="P64" s="52"/>
      <c r="Q64" s="52"/>
      <c r="R64" s="52"/>
      <c r="S64" s="52"/>
    </row>
    <row r="65" spans="2:19" s="54" customFormat="1" ht="15" customHeight="1">
      <c r="B65" s="328" t="str">
        <f>Assumptions!C66</f>
        <v>Reduced Lunch Reimbursement</v>
      </c>
      <c r="C65" s="53"/>
      <c r="D65" s="227">
        <v>0</v>
      </c>
      <c r="E65" s="98"/>
      <c r="F65" s="282"/>
      <c r="G65" s="98"/>
      <c r="H65" s="98"/>
      <c r="I65" s="80"/>
      <c r="J65" s="349"/>
      <c r="K65" s="52"/>
      <c r="L65" s="52"/>
      <c r="M65" s="52"/>
      <c r="N65" s="52"/>
      <c r="O65" s="52"/>
      <c r="P65" s="52"/>
      <c r="Q65" s="52"/>
      <c r="R65" s="52"/>
      <c r="S65" s="52"/>
    </row>
    <row r="66" spans="2:19" s="54" customFormat="1" ht="15" customHeight="1">
      <c r="B66" s="328" t="str">
        <f>Assumptions!C67</f>
        <v>Paid Lunch Reimbursement</v>
      </c>
      <c r="C66" s="53"/>
      <c r="D66" s="227">
        <v>0</v>
      </c>
      <c r="E66" s="98"/>
      <c r="F66" s="282"/>
      <c r="G66" s="98"/>
      <c r="H66" s="98"/>
      <c r="I66" s="80"/>
      <c r="J66" s="349"/>
      <c r="K66" s="52"/>
      <c r="L66" s="52"/>
      <c r="M66" s="52"/>
      <c r="N66" s="52"/>
      <c r="O66" s="52"/>
      <c r="P66" s="52"/>
      <c r="Q66" s="52"/>
      <c r="R66" s="52"/>
      <c r="S66" s="52"/>
    </row>
    <row r="67" spans="2:19" s="54" customFormat="1" ht="15" customHeight="1">
      <c r="B67" s="328" t="str">
        <f>Assumptions!C68</f>
        <v>Snack Reimbursement</v>
      </c>
      <c r="C67" s="53"/>
      <c r="D67" s="227">
        <v>0</v>
      </c>
      <c r="E67" s="98"/>
      <c r="F67" s="282"/>
      <c r="G67" s="98"/>
      <c r="H67" s="98"/>
      <c r="I67" s="80"/>
      <c r="J67" s="349"/>
      <c r="K67" s="52"/>
      <c r="L67" s="52"/>
      <c r="M67" s="52"/>
      <c r="N67" s="52"/>
      <c r="O67" s="52"/>
      <c r="P67" s="52"/>
      <c r="Q67" s="52"/>
      <c r="R67" s="52"/>
      <c r="S67" s="52"/>
    </row>
    <row r="68" spans="2:19" s="54" customFormat="1" ht="15" customHeight="1">
      <c r="B68" s="83" t="str">
        <f>Assumptions!C69</f>
        <v xml:space="preserve">Total 6198 - School Food Services     </v>
      </c>
      <c r="C68" s="53"/>
      <c r="D68" s="334">
        <f>SUM(D60:D67)</f>
        <v>0</v>
      </c>
      <c r="E68" s="98"/>
      <c r="F68" s="282"/>
      <c r="G68" s="98"/>
      <c r="H68" s="98"/>
      <c r="I68" s="80"/>
      <c r="J68" s="349"/>
      <c r="K68" s="52"/>
      <c r="L68" s="52"/>
      <c r="M68" s="52"/>
      <c r="N68" s="52"/>
      <c r="O68" s="52"/>
      <c r="P68" s="52"/>
      <c r="Q68" s="52"/>
      <c r="R68" s="52"/>
      <c r="S68" s="52"/>
    </row>
    <row r="69" spans="2:19" s="54" customFormat="1" ht="15" customHeight="1">
      <c r="B69" s="83" t="str">
        <f>Assumptions!C70</f>
        <v>Custom FEDERAL REVENUE - SPECIAL PURPOSE</v>
      </c>
      <c r="C69" s="53"/>
      <c r="D69" s="227">
        <v>0</v>
      </c>
      <c r="E69" s="98"/>
      <c r="F69" s="282"/>
      <c r="G69" s="98"/>
      <c r="H69" s="98"/>
      <c r="I69" s="80"/>
      <c r="J69" s="349"/>
      <c r="K69" s="52"/>
      <c r="L69" s="52"/>
      <c r="M69" s="52"/>
      <c r="N69" s="52"/>
      <c r="O69" s="52"/>
      <c r="P69" s="52"/>
      <c r="Q69" s="52"/>
      <c r="R69" s="52"/>
      <c r="S69" s="52"/>
    </row>
    <row r="70" spans="2:19" s="54" customFormat="1" ht="15" customHeight="1" thickBot="1">
      <c r="B70" s="81" t="str">
        <f>Assumptions!C71</f>
        <v>TOTAL FEDERAL REVENUE - SPECIAL PURPOSE</v>
      </c>
      <c r="C70" s="53"/>
      <c r="D70" s="307">
        <f>SUM(D59,D68,D69)</f>
        <v>0</v>
      </c>
      <c r="E70" s="98"/>
      <c r="F70" s="282"/>
      <c r="G70" s="98"/>
      <c r="H70" s="98"/>
      <c r="I70" s="80"/>
      <c r="J70" s="349"/>
      <c r="K70" s="52"/>
      <c r="L70" s="52"/>
      <c r="M70" s="52"/>
      <c r="N70" s="52"/>
      <c r="O70" s="52"/>
      <c r="P70" s="52"/>
      <c r="Q70" s="52"/>
      <c r="R70" s="52"/>
      <c r="S70" s="52"/>
    </row>
    <row r="71" spans="2:19" s="54" customFormat="1" ht="6" customHeight="1" thickTop="1">
      <c r="B71" s="90"/>
      <c r="C71" s="53"/>
      <c r="D71" s="79"/>
      <c r="E71" s="98"/>
      <c r="F71" s="282"/>
      <c r="G71" s="98"/>
      <c r="H71" s="98"/>
      <c r="I71" s="80"/>
      <c r="J71" s="349"/>
      <c r="K71" s="52"/>
      <c r="L71" s="52"/>
      <c r="M71" s="52"/>
      <c r="N71" s="52"/>
      <c r="O71" s="52"/>
      <c r="P71" s="52"/>
      <c r="Q71" s="52"/>
      <c r="R71" s="52"/>
      <c r="S71" s="52"/>
    </row>
    <row r="72" spans="2:19" s="54" customFormat="1" ht="15" customHeight="1">
      <c r="B72" s="81" t="str">
        <f>Assumptions!C73</f>
        <v>7000 - OTHER SCHOOL DISTRICTS</v>
      </c>
      <c r="C72" s="53"/>
      <c r="D72" s="79"/>
      <c r="E72" s="98"/>
      <c r="F72" s="282"/>
      <c r="G72" s="98"/>
      <c r="H72" s="98"/>
      <c r="I72" s="80"/>
      <c r="J72" s="349"/>
      <c r="K72" s="52"/>
      <c r="L72" s="52"/>
      <c r="M72" s="52"/>
      <c r="N72" s="52"/>
      <c r="O72" s="52"/>
      <c r="P72" s="52"/>
      <c r="Q72" s="52"/>
      <c r="R72" s="52"/>
      <c r="S72" s="52"/>
    </row>
    <row r="73" spans="2:19" s="54" customFormat="1" ht="15" customHeight="1">
      <c r="B73" s="83" t="str">
        <f>Assumptions!C74</f>
        <v xml:space="preserve">7100 - Program Participation, Unassigned </v>
      </c>
      <c r="C73" s="53"/>
      <c r="D73" s="227">
        <v>0</v>
      </c>
      <c r="E73" s="98"/>
      <c r="F73" s="282"/>
      <c r="G73" s="98"/>
      <c r="H73" s="98"/>
      <c r="I73" s="80"/>
      <c r="J73" s="349"/>
      <c r="K73" s="52"/>
      <c r="L73" s="52"/>
      <c r="M73" s="52"/>
      <c r="N73" s="52"/>
      <c r="O73" s="52"/>
      <c r="P73" s="52"/>
      <c r="Q73" s="52"/>
      <c r="R73" s="52"/>
      <c r="S73" s="52"/>
    </row>
    <row r="74" spans="2:19" s="54" customFormat="1" ht="15" customHeight="1">
      <c r="B74" s="83" t="str">
        <f>Assumptions!C75</f>
        <v>Custom OTHER SCHOOL DISTRICTS</v>
      </c>
      <c r="C74" s="53"/>
      <c r="D74" s="227">
        <v>0</v>
      </c>
      <c r="E74" s="98"/>
      <c r="F74" s="282"/>
      <c r="G74" s="98"/>
      <c r="H74" s="98"/>
      <c r="I74" s="80"/>
      <c r="J74" s="349"/>
    </row>
    <row r="75" spans="2:19" s="54" customFormat="1" ht="15" customHeight="1" thickBot="1">
      <c r="B75" s="81" t="str">
        <f>Assumptions!C76</f>
        <v>TOTAL OTHER SCHOOL DISTRICTS</v>
      </c>
      <c r="C75" s="53"/>
      <c r="D75" s="307">
        <f>SUM(D73:D74)</f>
        <v>0</v>
      </c>
      <c r="E75" s="96"/>
      <c r="F75" s="282"/>
      <c r="G75" s="96"/>
      <c r="H75" s="96"/>
      <c r="I75" s="80"/>
      <c r="J75" s="349"/>
      <c r="K75" s="52"/>
      <c r="L75" s="52"/>
      <c r="M75" s="52"/>
      <c r="N75" s="52"/>
      <c r="O75" s="52"/>
      <c r="P75" s="52"/>
      <c r="Q75" s="52"/>
      <c r="R75" s="52"/>
      <c r="S75" s="52"/>
    </row>
    <row r="76" spans="2:19" s="54" customFormat="1" ht="6" customHeight="1" thickTop="1">
      <c r="B76" s="90"/>
      <c r="C76" s="53"/>
      <c r="D76" s="79"/>
      <c r="E76" s="88"/>
      <c r="F76" s="351"/>
      <c r="G76" s="88"/>
      <c r="H76" s="88"/>
      <c r="I76" s="80"/>
      <c r="J76" s="86"/>
      <c r="K76" s="52"/>
      <c r="L76" s="52"/>
      <c r="M76" s="52"/>
      <c r="N76" s="52"/>
      <c r="O76" s="52"/>
      <c r="P76" s="52"/>
      <c r="Q76" s="52"/>
      <c r="R76" s="52"/>
      <c r="S76" s="52"/>
    </row>
    <row r="77" spans="2:19" s="54" customFormat="1" ht="15" customHeight="1">
      <c r="B77" s="81" t="str">
        <f>Assumptions!C78</f>
        <v>8000 - OTHER ENTITIES</v>
      </c>
      <c r="C77" s="53"/>
      <c r="D77" s="79"/>
      <c r="E77" s="58"/>
      <c r="F77" s="282"/>
      <c r="G77" s="58"/>
      <c r="H77" s="58"/>
      <c r="I77" s="80"/>
      <c r="J77" s="349"/>
      <c r="K77" s="52"/>
      <c r="L77" s="52"/>
      <c r="M77" s="52"/>
      <c r="N77" s="52"/>
      <c r="O77" s="52"/>
      <c r="P77" s="52"/>
      <c r="Q77" s="52"/>
      <c r="R77" s="52"/>
      <c r="S77" s="52"/>
    </row>
    <row r="78" spans="2:19" s="54" customFormat="1" ht="15" customHeight="1">
      <c r="B78" s="83" t="str">
        <f>Assumptions!C79</f>
        <v xml:space="preserve">8100 - Governmental Entities      </v>
      </c>
      <c r="C78" s="53"/>
      <c r="D78" s="227">
        <v>0</v>
      </c>
      <c r="E78" s="98"/>
      <c r="F78" s="282"/>
      <c r="G78" s="98"/>
      <c r="H78" s="98"/>
      <c r="I78" s="80"/>
      <c r="J78" s="349"/>
      <c r="K78" s="52"/>
      <c r="L78" s="52"/>
      <c r="M78" s="52"/>
      <c r="N78" s="52"/>
      <c r="O78" s="52"/>
      <c r="P78" s="52"/>
      <c r="Q78" s="52"/>
      <c r="R78" s="52"/>
      <c r="S78" s="52"/>
    </row>
    <row r="79" spans="2:19" s="54" customFormat="1" ht="15" customHeight="1">
      <c r="B79" s="83" t="str">
        <f>Assumptions!C80</f>
        <v xml:space="preserve">8200 - Private Foundations  </v>
      </c>
      <c r="C79" s="53"/>
      <c r="D79" s="227">
        <v>0</v>
      </c>
      <c r="E79" s="98"/>
      <c r="F79" s="282"/>
      <c r="G79" s="98"/>
      <c r="H79" s="98"/>
      <c r="I79" s="80"/>
      <c r="J79" s="349"/>
      <c r="K79" s="52"/>
      <c r="L79" s="52"/>
      <c r="M79" s="52"/>
      <c r="N79" s="52"/>
      <c r="O79" s="52"/>
      <c r="P79" s="52"/>
      <c r="Q79" s="52"/>
      <c r="R79" s="52"/>
      <c r="S79" s="52"/>
    </row>
    <row r="80" spans="2:19" s="54" customFormat="1" ht="15" customHeight="1">
      <c r="B80" s="83" t="str">
        <f>Assumptions!C81</f>
        <v xml:space="preserve">8500 - Educational Service Districts   </v>
      </c>
      <c r="C80" s="53"/>
      <c r="D80" s="227">
        <v>0</v>
      </c>
      <c r="E80" s="98"/>
      <c r="F80" s="282"/>
      <c r="G80" s="98"/>
      <c r="H80" s="98"/>
      <c r="I80" s="80"/>
      <c r="J80" s="349"/>
      <c r="K80" s="52"/>
      <c r="L80" s="52"/>
      <c r="M80" s="52"/>
      <c r="N80" s="52"/>
      <c r="O80" s="52"/>
      <c r="P80" s="52"/>
      <c r="Q80" s="52"/>
      <c r="R80" s="52"/>
      <c r="S80" s="52"/>
    </row>
    <row r="81" spans="2:19" s="54" customFormat="1" ht="15" customHeight="1">
      <c r="B81" s="83" t="str">
        <f>Assumptions!C82</f>
        <v>Custom OTHER ENTITIES</v>
      </c>
      <c r="C81" s="53"/>
      <c r="D81" s="227">
        <v>0</v>
      </c>
      <c r="E81" s="98"/>
      <c r="F81" s="282"/>
      <c r="G81" s="98"/>
      <c r="H81" s="98"/>
      <c r="I81" s="80"/>
      <c r="J81" s="349"/>
      <c r="K81" s="52"/>
      <c r="L81" s="52"/>
      <c r="M81" s="52"/>
      <c r="N81" s="52"/>
      <c r="O81" s="52"/>
      <c r="P81" s="52"/>
      <c r="Q81" s="52"/>
      <c r="R81" s="52"/>
      <c r="S81" s="52"/>
    </row>
    <row r="82" spans="2:19" s="54" customFormat="1" ht="15" customHeight="1" thickBot="1">
      <c r="B82" s="81" t="str">
        <f>Assumptions!C83</f>
        <v>TOTAL OTHER ENTITIES</v>
      </c>
      <c r="C82" s="53"/>
      <c r="D82" s="307">
        <f>SUM(D78:D81)</f>
        <v>0</v>
      </c>
      <c r="E82" s="98"/>
      <c r="F82" s="282"/>
      <c r="G82" s="98"/>
      <c r="H82" s="98"/>
      <c r="I82" s="80"/>
      <c r="J82" s="349"/>
      <c r="K82" s="52"/>
      <c r="L82" s="52"/>
      <c r="M82" s="52"/>
      <c r="N82" s="52"/>
      <c r="O82" s="52"/>
      <c r="P82" s="52"/>
      <c r="Q82" s="52"/>
      <c r="R82" s="52"/>
      <c r="S82" s="52"/>
    </row>
    <row r="83" spans="2:19" s="54" customFormat="1" ht="6" customHeight="1" thickTop="1">
      <c r="B83" s="90"/>
      <c r="C83" s="53"/>
      <c r="D83" s="79"/>
      <c r="E83" s="98"/>
      <c r="F83" s="282"/>
      <c r="G83" s="98"/>
      <c r="H83" s="98"/>
      <c r="I83" s="80"/>
      <c r="J83" s="349"/>
      <c r="K83" s="52"/>
      <c r="L83" s="52"/>
      <c r="M83" s="52"/>
      <c r="N83" s="52"/>
      <c r="O83" s="52"/>
      <c r="P83" s="52"/>
      <c r="Q83" s="52"/>
      <c r="R83" s="52"/>
      <c r="S83" s="52"/>
    </row>
    <row r="84" spans="2:19" s="54" customFormat="1" ht="15" customHeight="1">
      <c r="B84" s="81" t="str">
        <f>Assumptions!C85</f>
        <v>9000 - OTHER FINANCING SOURCES</v>
      </c>
      <c r="C84" s="53"/>
      <c r="D84" s="79"/>
      <c r="E84" s="98"/>
      <c r="F84" s="282"/>
      <c r="G84" s="98"/>
      <c r="H84" s="98"/>
      <c r="I84" s="80"/>
      <c r="J84" s="349"/>
      <c r="K84" s="52"/>
      <c r="L84" s="52"/>
      <c r="M84" s="52"/>
      <c r="N84" s="52"/>
      <c r="O84" s="52"/>
      <c r="P84" s="52"/>
      <c r="Q84" s="52"/>
      <c r="R84" s="52"/>
      <c r="S84" s="52"/>
    </row>
    <row r="85" spans="2:19" s="54" customFormat="1" ht="15" customHeight="1">
      <c r="B85" s="83" t="str">
        <f>Assumptions!C86</f>
        <v xml:space="preserve">9500 - Long-Term Financing      </v>
      </c>
      <c r="C85" s="53"/>
      <c r="D85" s="227">
        <v>0</v>
      </c>
      <c r="E85" s="98"/>
      <c r="F85" s="282"/>
      <c r="G85" s="98"/>
      <c r="H85" s="98"/>
      <c r="I85" s="80"/>
      <c r="J85" s="349"/>
      <c r="K85" s="52"/>
      <c r="L85" s="52"/>
      <c r="M85" s="52"/>
      <c r="N85" s="52"/>
      <c r="O85" s="52"/>
      <c r="P85" s="52"/>
      <c r="Q85" s="52"/>
      <c r="R85" s="52"/>
      <c r="S85" s="52"/>
    </row>
    <row r="86" spans="2:19" s="54" customFormat="1" ht="15" customHeight="1">
      <c r="B86" s="83" t="str">
        <f>Assumptions!C87</f>
        <v>9900 - Transfers</v>
      </c>
      <c r="C86" s="53"/>
      <c r="D86" s="227">
        <v>0</v>
      </c>
      <c r="E86" s="98"/>
      <c r="F86" s="282"/>
      <c r="G86" s="98"/>
      <c r="H86" s="98"/>
      <c r="I86" s="80"/>
      <c r="J86" s="349"/>
      <c r="K86" s="52"/>
      <c r="L86" s="52"/>
      <c r="M86" s="52"/>
      <c r="N86" s="52"/>
      <c r="O86" s="52"/>
      <c r="P86" s="52"/>
      <c r="Q86" s="52"/>
      <c r="R86" s="52"/>
      <c r="S86" s="52"/>
    </row>
    <row r="87" spans="2:19" s="54" customFormat="1" ht="15" customHeight="1">
      <c r="B87" s="83" t="str">
        <f>Assumptions!C88</f>
        <v>Custom OTHER FINANCING SOURCES</v>
      </c>
      <c r="C87" s="53"/>
      <c r="D87" s="227">
        <v>0</v>
      </c>
      <c r="E87" s="98"/>
      <c r="F87" s="282"/>
      <c r="G87" s="98"/>
      <c r="H87" s="98"/>
      <c r="I87" s="80"/>
      <c r="J87" s="349"/>
      <c r="K87" s="52"/>
      <c r="L87" s="52"/>
      <c r="M87" s="52"/>
      <c r="N87" s="52"/>
      <c r="O87" s="52"/>
      <c r="P87" s="52"/>
      <c r="Q87" s="52"/>
      <c r="R87" s="52"/>
      <c r="S87" s="52"/>
    </row>
    <row r="88" spans="2:19" s="54" customFormat="1" ht="15" customHeight="1" thickBot="1">
      <c r="B88" s="81" t="str">
        <f>Assumptions!C89</f>
        <v>TOTAL OTHER FINANCING SOURCES</v>
      </c>
      <c r="C88" s="53"/>
      <c r="D88" s="307">
        <f>SUM(D85:D87)</f>
        <v>0</v>
      </c>
      <c r="E88" s="96"/>
      <c r="F88" s="282"/>
      <c r="G88" s="96"/>
      <c r="H88" s="96"/>
      <c r="I88" s="80"/>
      <c r="J88" s="349"/>
      <c r="K88" s="52"/>
      <c r="L88" s="52"/>
      <c r="M88" s="52"/>
      <c r="N88" s="52"/>
      <c r="O88" s="52"/>
      <c r="P88" s="52"/>
      <c r="Q88" s="52"/>
      <c r="R88" s="52"/>
      <c r="S88" s="52"/>
    </row>
    <row r="89" spans="2:19" s="54" customFormat="1" ht="6" customHeight="1" thickTop="1">
      <c r="B89" s="81"/>
      <c r="C89" s="53"/>
      <c r="D89" s="311"/>
      <c r="E89" s="96"/>
      <c r="F89" s="351"/>
      <c r="G89" s="96"/>
      <c r="H89" s="96"/>
      <c r="I89" s="80"/>
      <c r="J89" s="86"/>
      <c r="K89" s="52"/>
      <c r="L89" s="52"/>
      <c r="M89" s="52"/>
      <c r="N89" s="52"/>
      <c r="O89" s="52"/>
      <c r="P89" s="52"/>
      <c r="Q89" s="52"/>
      <c r="R89" s="52"/>
      <c r="S89" s="52"/>
    </row>
    <row r="90" spans="2:19" s="54" customFormat="1" ht="15" customHeight="1" thickBot="1">
      <c r="B90" s="81" t="str">
        <f>Assumptions!C91</f>
        <v>TOTAL REVENUE</v>
      </c>
      <c r="C90" s="53"/>
      <c r="D90" s="335">
        <f>SUM(D23,D29,D35,D45,D56,D70,D75,D82,D88)</f>
        <v>0</v>
      </c>
      <c r="E90" s="96"/>
      <c r="F90" s="282"/>
      <c r="G90" s="96"/>
      <c r="H90" s="96"/>
      <c r="I90" s="80"/>
      <c r="J90" s="349"/>
      <c r="K90" s="52"/>
      <c r="L90" s="52"/>
      <c r="M90" s="52"/>
      <c r="N90" s="52"/>
      <c r="O90" s="52"/>
      <c r="P90" s="52"/>
      <c r="Q90" s="52"/>
      <c r="R90" s="52"/>
      <c r="S90" s="52"/>
    </row>
    <row r="91" spans="2:19" s="54" customFormat="1" ht="15" customHeight="1" thickTop="1">
      <c r="B91" s="92"/>
      <c r="C91" s="53"/>
      <c r="D91" s="89"/>
      <c r="E91" s="221"/>
      <c r="F91" s="282"/>
      <c r="G91" s="221"/>
      <c r="H91" s="222"/>
      <c r="I91" s="80"/>
      <c r="J91" s="86"/>
      <c r="K91" s="52"/>
      <c r="L91" s="52"/>
      <c r="M91" s="52"/>
      <c r="N91" s="52"/>
      <c r="O91" s="52"/>
      <c r="P91" s="52"/>
      <c r="Q91" s="52"/>
      <c r="R91" s="52"/>
      <c r="S91" s="52"/>
    </row>
    <row r="92" spans="2:19" s="54" customFormat="1" ht="15" customHeight="1">
      <c r="B92" s="348" t="str">
        <f>Assumptions!C93</f>
        <v>EXPENSES</v>
      </c>
      <c r="C92" s="53"/>
      <c r="D92" s="89"/>
      <c r="E92" s="221"/>
      <c r="F92" s="282"/>
      <c r="G92" s="221"/>
      <c r="H92" s="221"/>
      <c r="I92" s="80"/>
      <c r="J92" s="349"/>
      <c r="K92" s="52"/>
      <c r="L92" s="52"/>
      <c r="M92" s="52"/>
      <c r="N92" s="52"/>
      <c r="O92" s="52"/>
      <c r="P92" s="52"/>
      <c r="Q92" s="52"/>
      <c r="R92" s="52"/>
      <c r="S92" s="52"/>
    </row>
    <row r="93" spans="2:19" s="54" customFormat="1" ht="15" customHeight="1">
      <c r="B93" s="81" t="str">
        <f>Assumptions!C94</f>
        <v>ADMINISTRATIVE STAFF PERSONNEL COSTS</v>
      </c>
      <c r="C93" s="53"/>
      <c r="D93" s="89"/>
      <c r="E93" s="221"/>
      <c r="F93" s="282"/>
      <c r="G93" s="221"/>
      <c r="H93" s="221"/>
      <c r="I93" s="80"/>
      <c r="J93" s="349"/>
      <c r="K93" s="52"/>
      <c r="L93" s="52"/>
      <c r="M93" s="52"/>
      <c r="N93" s="52"/>
      <c r="O93" s="52"/>
      <c r="P93" s="52"/>
      <c r="Q93" s="52"/>
      <c r="R93" s="52"/>
      <c r="S93" s="52"/>
    </row>
    <row r="94" spans="2:19" s="54" customFormat="1" ht="15" customHeight="1">
      <c r="B94" s="94" t="str">
        <f>Assumptions!C95</f>
        <v>Executive Management</v>
      </c>
      <c r="C94" s="53"/>
      <c r="D94" s="227">
        <v>0</v>
      </c>
      <c r="E94" s="58"/>
      <c r="F94" s="282"/>
      <c r="G94" s="58"/>
      <c r="H94" s="58"/>
      <c r="I94" s="80"/>
      <c r="J94" s="349"/>
      <c r="K94" s="52"/>
      <c r="L94" s="52"/>
      <c r="M94" s="52"/>
      <c r="N94" s="52"/>
      <c r="O94" s="52"/>
      <c r="P94" s="52"/>
      <c r="Q94" s="52"/>
      <c r="R94" s="52"/>
      <c r="S94" s="52"/>
    </row>
    <row r="95" spans="2:19" s="54" customFormat="1" ht="15" customHeight="1">
      <c r="B95" s="94" t="str">
        <f>Assumptions!C96</f>
        <v>Instructional Management</v>
      </c>
      <c r="C95" s="53"/>
      <c r="D95" s="227">
        <v>0</v>
      </c>
      <c r="E95" s="58"/>
      <c r="F95" s="282"/>
      <c r="G95" s="58"/>
      <c r="H95" s="58"/>
      <c r="I95" s="80"/>
      <c r="J95" s="349"/>
      <c r="K95" s="52"/>
      <c r="L95" s="52"/>
      <c r="M95" s="52"/>
      <c r="N95" s="52"/>
      <c r="O95" s="52"/>
      <c r="P95" s="52"/>
      <c r="Q95" s="52"/>
      <c r="R95" s="52"/>
      <c r="S95" s="52"/>
    </row>
    <row r="96" spans="2:19" s="54" customFormat="1" ht="15" customHeight="1">
      <c r="B96" s="94" t="str">
        <f>Assumptions!C97</f>
        <v>Deans, Directors &amp; Coordinators</v>
      </c>
      <c r="C96" s="53"/>
      <c r="D96" s="227">
        <v>0</v>
      </c>
      <c r="E96" s="58"/>
      <c r="F96" s="282"/>
      <c r="G96" s="58"/>
      <c r="H96" s="58"/>
      <c r="I96" s="80"/>
      <c r="J96" s="349"/>
      <c r="K96" s="52"/>
      <c r="L96" s="52"/>
      <c r="M96" s="52"/>
      <c r="N96" s="52"/>
      <c r="O96" s="52"/>
      <c r="P96" s="52"/>
      <c r="Q96" s="52"/>
      <c r="R96" s="52"/>
      <c r="S96" s="52"/>
    </row>
    <row r="97" spans="2:19" s="54" customFormat="1" ht="15" customHeight="1">
      <c r="B97" s="94" t="str">
        <f>Assumptions!C98</f>
        <v>CFO / Director of Finance</v>
      </c>
      <c r="C97" s="53"/>
      <c r="D97" s="227">
        <v>0</v>
      </c>
      <c r="E97" s="58"/>
      <c r="F97" s="282"/>
      <c r="G97" s="58"/>
      <c r="H97" s="58"/>
      <c r="I97" s="80"/>
      <c r="J97" s="349"/>
      <c r="K97" s="52"/>
      <c r="L97" s="52"/>
      <c r="M97" s="52"/>
      <c r="N97" s="52"/>
      <c r="O97" s="52"/>
      <c r="P97" s="52"/>
      <c r="Q97" s="52"/>
      <c r="R97" s="52"/>
      <c r="S97" s="52"/>
    </row>
    <row r="98" spans="2:19" s="54" customFormat="1" ht="15" customHeight="1">
      <c r="B98" s="94" t="str">
        <f>Assumptions!C99</f>
        <v>Operation / Business Manager</v>
      </c>
      <c r="C98" s="53"/>
      <c r="D98" s="227">
        <v>0</v>
      </c>
      <c r="E98" s="58"/>
      <c r="F98" s="282"/>
      <c r="G98" s="58"/>
      <c r="H98" s="58"/>
      <c r="I98" s="80"/>
      <c r="J98" s="349"/>
      <c r="K98" s="52"/>
      <c r="L98" s="52"/>
      <c r="M98" s="52"/>
      <c r="N98" s="52"/>
      <c r="O98" s="52"/>
      <c r="P98" s="52"/>
      <c r="Q98" s="52"/>
      <c r="R98" s="52"/>
      <c r="S98" s="52"/>
    </row>
    <row r="99" spans="2:19" s="54" customFormat="1" ht="15" customHeight="1">
      <c r="B99" s="94" t="str">
        <f>Assumptions!C100</f>
        <v>Administrative Staff</v>
      </c>
      <c r="C99" s="53"/>
      <c r="D99" s="227">
        <v>0</v>
      </c>
      <c r="E99" s="58"/>
      <c r="F99" s="282"/>
      <c r="G99" s="58"/>
      <c r="H99" s="58"/>
      <c r="I99" s="80"/>
      <c r="J99" s="349"/>
      <c r="K99" s="52"/>
      <c r="L99" s="52"/>
      <c r="M99" s="52"/>
      <c r="N99" s="52"/>
      <c r="O99" s="52"/>
      <c r="P99" s="52"/>
      <c r="Q99" s="52"/>
      <c r="R99" s="52"/>
      <c r="S99" s="52"/>
    </row>
    <row r="100" spans="2:19" s="54" customFormat="1" ht="15" customHeight="1">
      <c r="B100" s="94" t="str">
        <f>Assumptions!C101</f>
        <v>Other - Administrative</v>
      </c>
      <c r="C100" s="53"/>
      <c r="D100" s="227">
        <v>0</v>
      </c>
      <c r="E100" s="58"/>
      <c r="F100" s="282"/>
      <c r="G100" s="58"/>
      <c r="H100" s="58"/>
      <c r="I100" s="80"/>
      <c r="J100" s="349"/>
      <c r="K100" s="52"/>
      <c r="L100" s="52"/>
      <c r="M100" s="52"/>
      <c r="N100" s="52"/>
      <c r="O100" s="52"/>
      <c r="P100" s="52"/>
      <c r="Q100" s="52"/>
      <c r="R100" s="52"/>
      <c r="S100" s="52"/>
    </row>
    <row r="101" spans="2:19" s="54" customFormat="1" ht="15" customHeight="1" thickBot="1">
      <c r="B101" s="81" t="str">
        <f>Assumptions!C102</f>
        <v>TOTAL ADMINISTRATIVE STAFF PERSONNEL COSTS</v>
      </c>
      <c r="C101" s="53"/>
      <c r="D101" s="87">
        <f>SUM(D94:D100)</f>
        <v>0</v>
      </c>
      <c r="E101" s="96"/>
      <c r="F101" s="282"/>
      <c r="G101" s="96"/>
      <c r="H101" s="96"/>
      <c r="I101" s="80"/>
      <c r="J101" s="349"/>
      <c r="K101" s="52"/>
      <c r="L101" s="52"/>
      <c r="M101" s="52"/>
      <c r="N101" s="52"/>
      <c r="O101" s="52"/>
      <c r="P101" s="52"/>
      <c r="Q101" s="52"/>
      <c r="R101" s="52"/>
      <c r="S101" s="52"/>
    </row>
    <row r="102" spans="2:19" s="54" customFormat="1" ht="6" customHeight="1" thickTop="1">
      <c r="B102" s="81"/>
      <c r="C102" s="53"/>
      <c r="D102" s="88"/>
      <c r="E102" s="88"/>
      <c r="F102" s="351"/>
      <c r="G102" s="88"/>
      <c r="H102" s="88"/>
      <c r="I102" s="80"/>
      <c r="J102" s="86"/>
      <c r="K102" s="52"/>
      <c r="L102" s="52"/>
      <c r="M102" s="52"/>
      <c r="N102" s="52"/>
      <c r="O102" s="52"/>
      <c r="P102" s="52"/>
      <c r="Q102" s="52"/>
      <c r="R102" s="52"/>
      <c r="S102" s="52"/>
    </row>
    <row r="103" spans="2:19" s="54" customFormat="1" ht="15" customHeight="1">
      <c r="B103" s="81" t="str">
        <f>Assumptions!C104</f>
        <v>INSTRUCTIONAL PERSONNEL COSTS</v>
      </c>
      <c r="C103" s="53"/>
      <c r="D103" s="57"/>
      <c r="E103" s="58"/>
      <c r="F103" s="282"/>
      <c r="G103" s="58"/>
      <c r="H103" s="58"/>
      <c r="I103" s="80"/>
      <c r="J103" s="349"/>
      <c r="K103" s="52"/>
      <c r="L103" s="52"/>
      <c r="M103" s="52"/>
      <c r="N103" s="52"/>
      <c r="O103" s="52"/>
      <c r="P103" s="52"/>
      <c r="Q103" s="52"/>
      <c r="R103" s="52"/>
      <c r="S103" s="52"/>
    </row>
    <row r="104" spans="2:19" s="54" customFormat="1" ht="15" customHeight="1">
      <c r="B104" s="94" t="str">
        <f>Assumptions!C105</f>
        <v>Teachers - Regular</v>
      </c>
      <c r="C104" s="53"/>
      <c r="D104" s="227">
        <v>0</v>
      </c>
      <c r="E104" s="58"/>
      <c r="F104" s="282"/>
      <c r="G104" s="58"/>
      <c r="H104" s="58"/>
      <c r="I104" s="80"/>
      <c r="J104" s="349"/>
      <c r="K104" s="52"/>
      <c r="L104" s="52"/>
      <c r="M104" s="52"/>
      <c r="N104" s="52"/>
      <c r="O104" s="52"/>
      <c r="P104" s="52"/>
      <c r="Q104" s="52"/>
      <c r="R104" s="52"/>
      <c r="S104" s="52"/>
    </row>
    <row r="105" spans="2:19" s="54" customFormat="1" ht="15" customHeight="1">
      <c r="B105" s="94" t="str">
        <f>Assumptions!C106</f>
        <v>Teachers - SPED</v>
      </c>
      <c r="C105" s="53"/>
      <c r="D105" s="227">
        <v>0</v>
      </c>
      <c r="E105" s="58"/>
      <c r="F105" s="282"/>
      <c r="G105" s="58"/>
      <c r="H105" s="58"/>
      <c r="I105" s="80"/>
      <c r="J105" s="349"/>
      <c r="K105" s="52"/>
      <c r="L105" s="52"/>
      <c r="M105" s="52"/>
      <c r="N105" s="52"/>
      <c r="O105" s="52"/>
      <c r="P105" s="52"/>
      <c r="Q105" s="52"/>
      <c r="R105" s="52"/>
      <c r="S105" s="52"/>
    </row>
    <row r="106" spans="2:19" s="54" customFormat="1" ht="15" customHeight="1">
      <c r="B106" s="94" t="str">
        <f>Assumptions!C107</f>
        <v>Substitute Teachers</v>
      </c>
      <c r="C106" s="53"/>
      <c r="D106" s="227">
        <v>0</v>
      </c>
      <c r="E106" s="58"/>
      <c r="F106" s="282"/>
      <c r="G106" s="58"/>
      <c r="H106" s="58"/>
      <c r="I106" s="80"/>
      <c r="J106" s="349"/>
      <c r="K106" s="52"/>
      <c r="L106" s="52"/>
      <c r="M106" s="52"/>
      <c r="N106" s="52"/>
      <c r="O106" s="52"/>
      <c r="P106" s="52"/>
      <c r="Q106" s="52"/>
      <c r="R106" s="52"/>
      <c r="S106" s="52"/>
    </row>
    <row r="107" spans="2:19" s="54" customFormat="1" ht="15" customHeight="1">
      <c r="B107" s="94" t="str">
        <f>Assumptions!C108</f>
        <v>Teaching Assistants</v>
      </c>
      <c r="C107" s="53"/>
      <c r="D107" s="227">
        <v>0</v>
      </c>
      <c r="E107" s="58"/>
      <c r="F107" s="282"/>
      <c r="G107" s="58"/>
      <c r="H107" s="58"/>
      <c r="I107" s="80"/>
      <c r="J107" s="349"/>
      <c r="K107" s="52"/>
      <c r="L107" s="52"/>
      <c r="M107" s="52"/>
      <c r="N107" s="52"/>
      <c r="O107" s="52"/>
      <c r="P107" s="52"/>
      <c r="Q107" s="52"/>
      <c r="R107" s="52"/>
      <c r="S107" s="52"/>
    </row>
    <row r="108" spans="2:19" s="54" customFormat="1" ht="15" customHeight="1">
      <c r="B108" s="94" t="str">
        <f>Assumptions!C109</f>
        <v>Specialty Teachers</v>
      </c>
      <c r="C108" s="53"/>
      <c r="D108" s="227">
        <v>0</v>
      </c>
      <c r="E108" s="58"/>
      <c r="F108" s="282"/>
      <c r="G108" s="58"/>
      <c r="H108" s="58"/>
      <c r="I108" s="80"/>
      <c r="J108" s="349"/>
      <c r="K108" s="52"/>
      <c r="L108" s="52"/>
      <c r="M108" s="52"/>
      <c r="N108" s="52"/>
      <c r="O108" s="52"/>
      <c r="P108" s="52"/>
      <c r="Q108" s="52"/>
      <c r="R108" s="52"/>
      <c r="S108" s="52"/>
    </row>
    <row r="109" spans="2:19" s="54" customFormat="1" ht="15" customHeight="1">
      <c r="B109" s="94" t="str">
        <f>Assumptions!C110</f>
        <v>Aides</v>
      </c>
      <c r="C109" s="53"/>
      <c r="D109" s="227">
        <v>0</v>
      </c>
      <c r="E109" s="58"/>
      <c r="F109" s="282"/>
      <c r="G109" s="58"/>
      <c r="H109" s="58"/>
      <c r="I109" s="80"/>
      <c r="J109" s="349"/>
      <c r="K109" s="52"/>
      <c r="L109" s="52"/>
      <c r="M109" s="52"/>
      <c r="N109" s="52"/>
      <c r="O109" s="52"/>
      <c r="P109" s="52"/>
      <c r="Q109" s="52"/>
      <c r="R109" s="52"/>
      <c r="S109" s="52"/>
    </row>
    <row r="110" spans="2:19" s="54" customFormat="1" ht="15" customHeight="1">
      <c r="B110" s="94" t="str">
        <f>Assumptions!C111</f>
        <v>Therapists &amp; Counselors</v>
      </c>
      <c r="C110" s="53"/>
      <c r="D110" s="227">
        <v>0</v>
      </c>
      <c r="E110" s="58"/>
      <c r="F110" s="282"/>
      <c r="G110" s="58"/>
      <c r="H110" s="58"/>
      <c r="I110" s="80"/>
      <c r="J110" s="349"/>
      <c r="K110" s="52"/>
      <c r="L110" s="52"/>
      <c r="M110" s="52"/>
      <c r="N110" s="52"/>
      <c r="O110" s="52"/>
      <c r="P110" s="52"/>
      <c r="Q110" s="52"/>
      <c r="R110" s="52"/>
      <c r="S110" s="52"/>
    </row>
    <row r="111" spans="2:19" s="54" customFormat="1" ht="15" customHeight="1">
      <c r="B111" s="94" t="str">
        <f>Assumptions!C112</f>
        <v xml:space="preserve">Other - Instructional </v>
      </c>
      <c r="C111" s="53"/>
      <c r="D111" s="227">
        <v>0</v>
      </c>
      <c r="E111" s="58"/>
      <c r="F111" s="282"/>
      <c r="G111" s="58"/>
      <c r="H111" s="58"/>
      <c r="I111" s="80"/>
      <c r="J111" s="349"/>
      <c r="K111" s="52"/>
      <c r="L111" s="52"/>
      <c r="M111" s="52"/>
      <c r="N111" s="52"/>
      <c r="O111" s="52"/>
      <c r="P111" s="52"/>
      <c r="Q111" s="52"/>
      <c r="R111" s="52"/>
      <c r="S111" s="52"/>
    </row>
    <row r="112" spans="2:19" s="54" customFormat="1" ht="15" customHeight="1" thickBot="1">
      <c r="B112" s="81" t="str">
        <f>Assumptions!C113</f>
        <v>TOTAL INSTRUCTIONAL PERSONNEL COSTS</v>
      </c>
      <c r="C112" s="53"/>
      <c r="D112" s="95">
        <f>SUM(D104:D111)</f>
        <v>0</v>
      </c>
      <c r="E112" s="96"/>
      <c r="F112" s="282"/>
      <c r="G112" s="96"/>
      <c r="H112" s="96"/>
      <c r="I112" s="80"/>
      <c r="J112" s="349"/>
      <c r="K112" s="52"/>
      <c r="L112" s="52"/>
      <c r="M112" s="52"/>
      <c r="N112" s="52"/>
      <c r="O112" s="52"/>
      <c r="P112" s="52"/>
      <c r="Q112" s="52"/>
      <c r="R112" s="52"/>
      <c r="S112" s="52"/>
    </row>
    <row r="113" spans="2:19" s="54" customFormat="1" ht="6" customHeight="1" thickTop="1">
      <c r="B113" s="81"/>
      <c r="C113" s="53"/>
      <c r="D113" s="88"/>
      <c r="E113" s="88"/>
      <c r="F113" s="351"/>
      <c r="G113" s="88"/>
      <c r="H113" s="88"/>
      <c r="I113" s="80"/>
      <c r="J113" s="86"/>
      <c r="K113" s="52"/>
      <c r="L113" s="52"/>
      <c r="M113" s="52"/>
      <c r="N113" s="52"/>
      <c r="O113" s="52"/>
      <c r="P113" s="52"/>
      <c r="Q113" s="52"/>
      <c r="R113" s="52"/>
      <c r="S113" s="52"/>
    </row>
    <row r="114" spans="2:19" s="54" customFormat="1" ht="15" customHeight="1">
      <c r="B114" s="81" t="str">
        <f>Assumptions!C115</f>
        <v>NON-INSTRUCTIONAL PERSONNEL COSTS</v>
      </c>
      <c r="C114" s="53"/>
      <c r="D114" s="57"/>
      <c r="E114" s="58"/>
      <c r="F114" s="282"/>
      <c r="G114" s="58"/>
      <c r="H114" s="58"/>
      <c r="I114" s="80"/>
      <c r="J114" s="349"/>
      <c r="K114" s="52"/>
      <c r="L114" s="52"/>
      <c r="M114" s="52"/>
      <c r="N114" s="52"/>
      <c r="O114" s="52"/>
      <c r="P114" s="52"/>
      <c r="Q114" s="52"/>
      <c r="R114" s="52"/>
      <c r="S114" s="52"/>
    </row>
    <row r="115" spans="2:19" s="54" customFormat="1" ht="15" customHeight="1">
      <c r="B115" s="83" t="str">
        <f>Assumptions!C116</f>
        <v>Nurse</v>
      </c>
      <c r="C115" s="53"/>
      <c r="D115" s="227">
        <v>0</v>
      </c>
      <c r="E115" s="58"/>
      <c r="F115" s="282"/>
      <c r="G115" s="58"/>
      <c r="H115" s="58"/>
      <c r="I115" s="80"/>
      <c r="J115" s="349"/>
      <c r="K115" s="52"/>
      <c r="L115" s="52"/>
      <c r="M115" s="52"/>
      <c r="N115" s="52"/>
      <c r="O115" s="52"/>
      <c r="P115" s="52"/>
      <c r="Q115" s="52"/>
      <c r="R115" s="52"/>
      <c r="S115" s="52"/>
    </row>
    <row r="116" spans="2:19" s="54" customFormat="1" ht="15" customHeight="1">
      <c r="B116" s="83" t="str">
        <f>Assumptions!C117</f>
        <v>Librarian</v>
      </c>
      <c r="C116" s="53"/>
      <c r="D116" s="227">
        <v>0</v>
      </c>
      <c r="E116" s="58"/>
      <c r="F116" s="282"/>
      <c r="G116" s="58"/>
      <c r="H116" s="58"/>
      <c r="I116" s="80"/>
      <c r="J116" s="349"/>
      <c r="K116" s="52"/>
      <c r="L116" s="52"/>
      <c r="M116" s="52"/>
      <c r="N116" s="52"/>
      <c r="O116" s="52"/>
      <c r="P116" s="52"/>
      <c r="Q116" s="52"/>
      <c r="R116" s="52"/>
      <c r="S116" s="52"/>
    </row>
    <row r="117" spans="2:19" s="54" customFormat="1" ht="15" customHeight="1">
      <c r="B117" s="83" t="str">
        <f>Assumptions!C118</f>
        <v>Custodian</v>
      </c>
      <c r="C117" s="53"/>
      <c r="D117" s="227">
        <v>0</v>
      </c>
      <c r="E117" s="58"/>
      <c r="F117" s="282"/>
      <c r="G117" s="58"/>
      <c r="H117" s="58"/>
      <c r="I117" s="80"/>
      <c r="J117" s="349"/>
      <c r="K117" s="52"/>
      <c r="L117" s="52"/>
      <c r="M117" s="52"/>
      <c r="N117" s="52"/>
      <c r="O117" s="52"/>
      <c r="P117" s="52"/>
      <c r="Q117" s="52"/>
      <c r="R117" s="52"/>
      <c r="S117" s="52"/>
    </row>
    <row r="118" spans="2:19" s="54" customFormat="1" ht="15" customHeight="1">
      <c r="B118" s="83" t="str">
        <f>Assumptions!C119</f>
        <v>Security</v>
      </c>
      <c r="C118" s="53"/>
      <c r="D118" s="227">
        <v>0</v>
      </c>
      <c r="E118" s="58"/>
      <c r="F118" s="282"/>
      <c r="G118" s="58"/>
      <c r="H118" s="58"/>
      <c r="I118" s="80"/>
      <c r="J118" s="349"/>
      <c r="K118" s="52"/>
      <c r="L118" s="52"/>
      <c r="M118" s="52"/>
      <c r="N118" s="52"/>
      <c r="O118" s="52"/>
      <c r="P118" s="52"/>
      <c r="Q118" s="52"/>
      <c r="R118" s="52"/>
      <c r="S118" s="52"/>
    </row>
    <row r="119" spans="2:19" s="54" customFormat="1" ht="15" customHeight="1">
      <c r="B119" s="83" t="str">
        <f>Assumptions!C120</f>
        <v xml:space="preserve">Other - Non-Instructional </v>
      </c>
      <c r="C119" s="53"/>
      <c r="D119" s="227">
        <v>0</v>
      </c>
      <c r="E119" s="58"/>
      <c r="F119" s="282"/>
      <c r="G119" s="58"/>
      <c r="H119" s="58"/>
      <c r="I119" s="80"/>
      <c r="J119" s="349"/>
      <c r="K119" s="52"/>
      <c r="L119" s="52"/>
      <c r="M119" s="52"/>
      <c r="N119" s="52"/>
      <c r="O119" s="52"/>
      <c r="P119" s="52"/>
      <c r="Q119" s="52"/>
      <c r="R119" s="52"/>
      <c r="S119" s="52"/>
    </row>
    <row r="120" spans="2:19" s="54" customFormat="1" ht="15" customHeight="1" thickBot="1">
      <c r="B120" s="81" t="str">
        <f>Assumptions!C121</f>
        <v>TOTAL NON-INSTRUCTIONAL PERSONNEL COSTS</v>
      </c>
      <c r="C120" s="53"/>
      <c r="D120" s="95">
        <f>SUM(D115:D119)</f>
        <v>0</v>
      </c>
      <c r="E120" s="96"/>
      <c r="F120" s="282"/>
      <c r="G120" s="96"/>
      <c r="H120" s="96"/>
      <c r="I120" s="80"/>
      <c r="J120" s="349"/>
      <c r="K120" s="52"/>
      <c r="L120" s="52"/>
      <c r="M120" s="52"/>
      <c r="N120" s="52"/>
      <c r="O120" s="52"/>
      <c r="P120" s="52"/>
      <c r="Q120" s="52"/>
      <c r="R120" s="52"/>
      <c r="S120" s="52"/>
    </row>
    <row r="121" spans="2:19" s="54" customFormat="1" ht="6" customHeight="1" thickTop="1">
      <c r="B121" s="81"/>
      <c r="C121" s="53"/>
      <c r="D121" s="96"/>
      <c r="E121" s="96"/>
      <c r="F121" s="351"/>
      <c r="G121" s="96"/>
      <c r="H121" s="96"/>
      <c r="I121" s="80"/>
      <c r="J121" s="349"/>
      <c r="K121" s="52"/>
      <c r="L121" s="52"/>
      <c r="M121" s="52"/>
      <c r="N121" s="52"/>
      <c r="O121" s="52"/>
      <c r="P121" s="52"/>
      <c r="Q121" s="52"/>
      <c r="R121" s="52"/>
      <c r="S121" s="52"/>
    </row>
    <row r="122" spans="2:19" s="54" customFormat="1" ht="15" customHeight="1" thickBot="1">
      <c r="B122" s="81" t="str">
        <f>Assumptions!C123</f>
        <v>TOTAL PERSONNEL EXPENSES</v>
      </c>
      <c r="C122" s="53"/>
      <c r="D122" s="231">
        <f>D101+D112+D120</f>
        <v>0</v>
      </c>
      <c r="E122" s="96"/>
      <c r="F122" s="282"/>
      <c r="G122" s="96"/>
      <c r="H122" s="96"/>
      <c r="I122" s="80"/>
      <c r="J122" s="349"/>
      <c r="K122" s="52"/>
      <c r="L122" s="52"/>
      <c r="M122" s="52"/>
      <c r="N122" s="52"/>
      <c r="O122" s="52"/>
      <c r="P122" s="52"/>
      <c r="Q122" s="52"/>
      <c r="R122" s="52"/>
      <c r="S122" s="52"/>
    </row>
    <row r="123" spans="2:19" s="54" customFormat="1" ht="6" customHeight="1" thickTop="1">
      <c r="B123" s="81"/>
      <c r="C123" s="53"/>
      <c r="D123" s="88"/>
      <c r="E123" s="88"/>
      <c r="F123" s="351"/>
      <c r="G123" s="88"/>
      <c r="H123" s="88"/>
      <c r="I123" s="80"/>
      <c r="J123" s="86"/>
      <c r="K123" s="52"/>
      <c r="L123" s="52"/>
      <c r="M123" s="52"/>
      <c r="N123" s="52"/>
      <c r="O123" s="52"/>
      <c r="P123" s="52"/>
      <c r="Q123" s="52"/>
      <c r="R123" s="52"/>
      <c r="S123" s="52"/>
    </row>
    <row r="124" spans="2:19" s="54" customFormat="1" ht="15" customHeight="1">
      <c r="B124" s="81" t="str">
        <f>Assumptions!C125</f>
        <v>PAYROLL TAXES AND BENEFITS</v>
      </c>
      <c r="C124" s="53"/>
      <c r="D124" s="57"/>
      <c r="E124" s="58"/>
      <c r="F124" s="282"/>
      <c r="G124" s="58"/>
      <c r="H124" s="58"/>
      <c r="I124" s="80"/>
      <c r="J124" s="349"/>
      <c r="K124" s="52"/>
      <c r="L124" s="52"/>
      <c r="M124" s="52"/>
      <c r="N124" s="52"/>
      <c r="O124" s="52"/>
      <c r="P124" s="52"/>
      <c r="Q124" s="52"/>
      <c r="R124" s="52"/>
      <c r="S124" s="52"/>
    </row>
    <row r="125" spans="2:19" s="54" customFormat="1" ht="15" customHeight="1">
      <c r="B125" s="83" t="str">
        <f>Assumptions!C126</f>
        <v>Social Security</v>
      </c>
      <c r="C125" s="53"/>
      <c r="D125" s="227">
        <v>0</v>
      </c>
      <c r="E125" s="58"/>
      <c r="F125" s="282"/>
      <c r="G125" s="58"/>
      <c r="H125" s="58"/>
      <c r="I125" s="80"/>
      <c r="J125" s="349"/>
      <c r="K125" s="52"/>
      <c r="L125" s="52"/>
      <c r="M125" s="52"/>
      <c r="N125" s="52"/>
      <c r="O125" s="52"/>
      <c r="P125" s="52"/>
      <c r="Q125" s="52"/>
      <c r="R125" s="52"/>
      <c r="S125" s="52"/>
    </row>
    <row r="126" spans="2:19" s="54" customFormat="1" ht="15" customHeight="1">
      <c r="B126" s="83" t="str">
        <f>Assumptions!C127</f>
        <v>Medicare</v>
      </c>
      <c r="C126" s="53"/>
      <c r="D126" s="227">
        <v>0</v>
      </c>
      <c r="E126" s="58"/>
      <c r="F126" s="282"/>
      <c r="G126" s="58"/>
      <c r="H126" s="58"/>
      <c r="I126" s="80"/>
      <c r="J126" s="349"/>
      <c r="K126" s="52"/>
      <c r="L126" s="52"/>
      <c r="M126" s="52"/>
      <c r="N126" s="52"/>
      <c r="O126" s="52"/>
      <c r="P126" s="52"/>
      <c r="Q126" s="52"/>
      <c r="R126" s="52"/>
      <c r="S126" s="52"/>
    </row>
    <row r="127" spans="2:19" s="54" customFormat="1" ht="15" customHeight="1">
      <c r="B127" s="83" t="str">
        <f>Assumptions!C128</f>
        <v>State Unemployment</v>
      </c>
      <c r="C127" s="53"/>
      <c r="D127" s="227">
        <v>0</v>
      </c>
      <c r="E127" s="58"/>
      <c r="F127" s="282"/>
      <c r="G127" s="58"/>
      <c r="H127" s="58"/>
      <c r="I127" s="80"/>
      <c r="J127" s="349"/>
      <c r="K127" s="52"/>
      <c r="L127" s="52"/>
      <c r="M127" s="52"/>
      <c r="N127" s="52"/>
      <c r="O127" s="52"/>
      <c r="P127" s="52"/>
      <c r="Q127" s="52"/>
      <c r="R127" s="52"/>
      <c r="S127" s="52"/>
    </row>
    <row r="128" spans="2:19" s="54" customFormat="1" ht="15" customHeight="1">
      <c r="B128" s="83" t="str">
        <f>Assumptions!C129</f>
        <v>Worker's Compensation Insurance</v>
      </c>
      <c r="C128" s="53"/>
      <c r="D128" s="227">
        <v>0</v>
      </c>
      <c r="E128" s="58"/>
      <c r="F128" s="282"/>
      <c r="G128" s="58"/>
      <c r="H128" s="58"/>
      <c r="I128" s="80"/>
      <c r="J128" s="349"/>
      <c r="K128" s="52"/>
      <c r="L128" s="52"/>
      <c r="M128" s="52"/>
      <c r="N128" s="52"/>
      <c r="O128" s="52"/>
      <c r="P128" s="52"/>
      <c r="Q128" s="52"/>
      <c r="R128" s="52"/>
      <c r="S128" s="52"/>
    </row>
    <row r="129" spans="2:19" s="54" customFormat="1" ht="15" customHeight="1">
      <c r="B129" s="83" t="str">
        <f>Assumptions!C130</f>
        <v>Custom Other Tax #1</v>
      </c>
      <c r="C129" s="53"/>
      <c r="D129" s="227">
        <v>0</v>
      </c>
      <c r="E129" s="58"/>
      <c r="F129" s="282"/>
      <c r="G129" s="58"/>
      <c r="H129" s="58"/>
      <c r="I129" s="80"/>
      <c r="J129" s="349"/>
      <c r="K129" s="52"/>
      <c r="L129" s="52"/>
      <c r="M129" s="52"/>
      <c r="N129" s="52"/>
      <c r="O129" s="52"/>
      <c r="P129" s="52"/>
      <c r="Q129" s="52"/>
      <c r="R129" s="52"/>
      <c r="S129" s="52"/>
    </row>
    <row r="130" spans="2:19" s="54" customFormat="1" ht="15" customHeight="1">
      <c r="B130" s="83" t="str">
        <f>Assumptions!C131</f>
        <v>Custom Other Tax #2</v>
      </c>
      <c r="C130" s="53"/>
      <c r="D130" s="227">
        <v>0</v>
      </c>
      <c r="E130" s="58"/>
      <c r="F130" s="282"/>
      <c r="G130" s="58"/>
      <c r="H130" s="58"/>
      <c r="I130" s="80"/>
      <c r="J130" s="349"/>
      <c r="K130" s="52"/>
      <c r="L130" s="52"/>
      <c r="M130" s="52"/>
      <c r="N130" s="52"/>
      <c r="O130" s="52"/>
      <c r="P130" s="52"/>
      <c r="Q130" s="52"/>
      <c r="R130" s="52"/>
      <c r="S130" s="52"/>
    </row>
    <row r="131" spans="2:19" s="54" customFormat="1" ht="15" customHeight="1">
      <c r="B131" s="83" t="str">
        <f>Assumptions!C132</f>
        <v>Health Insurance</v>
      </c>
      <c r="C131" s="53"/>
      <c r="D131" s="227">
        <v>0</v>
      </c>
      <c r="E131" s="58"/>
      <c r="F131" s="282"/>
      <c r="G131" s="58"/>
      <c r="H131" s="58"/>
      <c r="I131" s="80"/>
      <c r="J131" s="349"/>
      <c r="K131" s="52"/>
      <c r="L131" s="52"/>
      <c r="M131" s="52"/>
      <c r="N131" s="52"/>
      <c r="O131" s="52"/>
      <c r="P131" s="52"/>
      <c r="Q131" s="52"/>
      <c r="R131" s="52"/>
      <c r="S131" s="52"/>
    </row>
    <row r="132" spans="2:19" s="54" customFormat="1" ht="15" customHeight="1">
      <c r="B132" s="83" t="str">
        <f>Assumptions!C133</f>
        <v>Dental Insurance</v>
      </c>
      <c r="C132" s="53"/>
      <c r="D132" s="227">
        <v>0</v>
      </c>
      <c r="E132" s="58"/>
      <c r="F132" s="282"/>
      <c r="G132" s="58"/>
      <c r="H132" s="58"/>
      <c r="I132" s="80"/>
      <c r="J132" s="349"/>
      <c r="K132" s="52"/>
      <c r="L132" s="52"/>
      <c r="M132" s="52"/>
      <c r="N132" s="52"/>
      <c r="O132" s="52"/>
      <c r="P132" s="52"/>
      <c r="Q132" s="52"/>
      <c r="R132" s="52"/>
      <c r="S132" s="52"/>
    </row>
    <row r="133" spans="2:19" s="54" customFormat="1" ht="15" customHeight="1">
      <c r="B133" s="83" t="str">
        <f>Assumptions!C134</f>
        <v>Vision Insurance</v>
      </c>
      <c r="C133" s="53"/>
      <c r="D133" s="227">
        <v>0</v>
      </c>
      <c r="E133" s="58"/>
      <c r="F133" s="282"/>
      <c r="G133" s="58"/>
      <c r="H133" s="58"/>
      <c r="I133" s="80"/>
      <c r="J133" s="349"/>
      <c r="K133" s="52"/>
      <c r="L133" s="52"/>
      <c r="M133" s="52"/>
      <c r="N133" s="52"/>
      <c r="O133" s="52"/>
      <c r="P133" s="52"/>
      <c r="Q133" s="52"/>
      <c r="R133" s="52"/>
      <c r="S133" s="52"/>
    </row>
    <row r="134" spans="2:19" s="54" customFormat="1" ht="15" customHeight="1">
      <c r="B134" s="83" t="str">
        <f>Assumptions!C135</f>
        <v>Life Insurance</v>
      </c>
      <c r="C134" s="53"/>
      <c r="D134" s="227">
        <v>0</v>
      </c>
      <c r="E134" s="58"/>
      <c r="F134" s="282"/>
      <c r="G134" s="58"/>
      <c r="H134" s="58"/>
      <c r="I134" s="80"/>
      <c r="J134" s="349"/>
      <c r="K134" s="52"/>
      <c r="L134" s="52"/>
      <c r="M134" s="52"/>
      <c r="N134" s="52"/>
      <c r="O134" s="52"/>
      <c r="P134" s="52"/>
      <c r="Q134" s="52"/>
      <c r="R134" s="52"/>
      <c r="S134" s="52"/>
    </row>
    <row r="135" spans="2:19" s="54" customFormat="1" ht="15" customHeight="1">
      <c r="B135" s="83" t="str">
        <f>Assumptions!C136</f>
        <v>Retirement Contribution</v>
      </c>
      <c r="C135" s="53"/>
      <c r="D135" s="227">
        <v>0</v>
      </c>
      <c r="E135" s="58"/>
      <c r="F135" s="282"/>
      <c r="G135" s="58"/>
      <c r="H135" s="58"/>
      <c r="I135" s="80"/>
      <c r="J135" s="349"/>
      <c r="K135" s="52"/>
      <c r="L135" s="52"/>
      <c r="M135" s="52"/>
      <c r="N135" s="52"/>
      <c r="O135" s="52"/>
      <c r="P135" s="52"/>
      <c r="Q135" s="52"/>
      <c r="R135" s="52"/>
      <c r="S135" s="52"/>
    </row>
    <row r="136" spans="2:19" s="54" customFormat="1" ht="15" customHeight="1">
      <c r="B136" s="83" t="str">
        <f>Assumptions!C137</f>
        <v>Custom Fringe #1</v>
      </c>
      <c r="C136" s="53"/>
      <c r="D136" s="227">
        <v>0</v>
      </c>
      <c r="E136" s="58"/>
      <c r="F136" s="282"/>
      <c r="G136" s="58"/>
      <c r="H136" s="58"/>
      <c r="I136" s="80"/>
      <c r="J136" s="349"/>
      <c r="K136" s="52"/>
      <c r="L136" s="52"/>
      <c r="M136" s="52"/>
      <c r="N136" s="52"/>
      <c r="O136" s="52"/>
      <c r="P136" s="52"/>
      <c r="Q136" s="52"/>
      <c r="R136" s="52"/>
      <c r="S136" s="52"/>
    </row>
    <row r="137" spans="2:19" s="54" customFormat="1" ht="15" customHeight="1">
      <c r="B137" s="83" t="str">
        <f>Assumptions!C138</f>
        <v>Custom Fringe #2</v>
      </c>
      <c r="C137" s="53"/>
      <c r="D137" s="227">
        <v>0</v>
      </c>
      <c r="E137" s="58"/>
      <c r="F137" s="282"/>
      <c r="G137" s="58"/>
      <c r="H137" s="58"/>
      <c r="I137" s="80"/>
      <c r="J137" s="349"/>
      <c r="K137" s="52"/>
      <c r="L137" s="52"/>
      <c r="M137" s="52"/>
      <c r="N137" s="52"/>
      <c r="O137" s="52"/>
      <c r="P137" s="52"/>
      <c r="Q137" s="52"/>
      <c r="R137" s="52"/>
      <c r="S137" s="52"/>
    </row>
    <row r="138" spans="2:19" s="54" customFormat="1" ht="15" customHeight="1" thickBot="1">
      <c r="B138" s="81" t="str">
        <f>Assumptions!C139</f>
        <v>TOTAL PAYROLL TAXES AND BENEFITS</v>
      </c>
      <c r="C138" s="53"/>
      <c r="D138" s="87">
        <f>SUM(D125:D137)</f>
        <v>0</v>
      </c>
      <c r="E138" s="96"/>
      <c r="F138" s="282"/>
      <c r="G138" s="96"/>
      <c r="H138" s="96"/>
      <c r="I138" s="80"/>
      <c r="J138" s="349"/>
      <c r="K138" s="52"/>
      <c r="L138" s="52"/>
      <c r="M138" s="52"/>
      <c r="N138" s="52"/>
      <c r="O138" s="52"/>
      <c r="P138" s="52"/>
      <c r="Q138" s="52"/>
      <c r="R138" s="52"/>
      <c r="S138" s="52"/>
    </row>
    <row r="139" spans="2:19" s="54" customFormat="1" ht="6" customHeight="1" thickTop="1">
      <c r="B139" s="81"/>
      <c r="C139" s="53"/>
      <c r="D139" s="96"/>
      <c r="E139" s="96"/>
      <c r="F139" s="351"/>
      <c r="G139" s="96"/>
      <c r="H139" s="96"/>
      <c r="I139" s="80"/>
      <c r="J139" s="86"/>
      <c r="K139" s="52"/>
      <c r="L139" s="52"/>
      <c r="M139" s="52"/>
      <c r="N139" s="52"/>
      <c r="O139" s="52"/>
      <c r="P139" s="52"/>
      <c r="Q139" s="52"/>
      <c r="R139" s="52"/>
      <c r="S139" s="52"/>
    </row>
    <row r="140" spans="2:19" s="54" customFormat="1" ht="15" customHeight="1" thickBot="1">
      <c r="B140" s="81" t="str">
        <f>Assumptions!C141</f>
        <v>TOTAL PERSONNEL, TAX &amp; BENEFIT EXPENSES</v>
      </c>
      <c r="C140" s="53"/>
      <c r="D140" s="231">
        <f>D122+D138</f>
        <v>0</v>
      </c>
      <c r="E140" s="96"/>
      <c r="F140" s="282"/>
      <c r="G140" s="96"/>
      <c r="H140" s="96"/>
      <c r="I140" s="80"/>
      <c r="J140" s="349"/>
      <c r="K140" s="52"/>
      <c r="L140" s="52"/>
      <c r="M140" s="52"/>
      <c r="N140" s="52"/>
      <c r="O140" s="52"/>
      <c r="P140" s="52"/>
      <c r="Q140" s="52"/>
      <c r="R140" s="52"/>
      <c r="S140" s="52"/>
    </row>
    <row r="141" spans="2:19" s="54" customFormat="1" ht="6" customHeight="1" thickTop="1">
      <c r="B141" s="81"/>
      <c r="C141" s="53"/>
      <c r="D141" s="88"/>
      <c r="E141" s="88"/>
      <c r="F141" s="351"/>
      <c r="G141" s="88"/>
      <c r="H141" s="88"/>
      <c r="I141" s="80"/>
      <c r="J141" s="86"/>
      <c r="K141" s="52"/>
      <c r="L141" s="52"/>
      <c r="M141" s="52"/>
      <c r="N141" s="52"/>
      <c r="O141" s="52"/>
      <c r="P141" s="52"/>
      <c r="Q141" s="52"/>
      <c r="R141" s="52"/>
      <c r="S141" s="52"/>
    </row>
    <row r="142" spans="2:19" s="54" customFormat="1" ht="15" customHeight="1">
      <c r="B142" s="81" t="str">
        <f>Assumptions!C143</f>
        <v>CONTRACTED SERVICES</v>
      </c>
      <c r="C142" s="53"/>
      <c r="D142" s="57"/>
      <c r="E142" s="58"/>
      <c r="F142" s="282"/>
      <c r="G142" s="58"/>
      <c r="H142" s="58"/>
      <c r="I142" s="80"/>
      <c r="J142" s="349"/>
      <c r="K142" s="52"/>
      <c r="L142" s="52"/>
      <c r="M142" s="52"/>
      <c r="N142" s="52"/>
      <c r="O142" s="52"/>
      <c r="P142" s="52"/>
      <c r="Q142" s="52"/>
      <c r="R142" s="52"/>
      <c r="S142" s="52"/>
    </row>
    <row r="143" spans="2:19" s="54" customFormat="1" ht="15" customHeight="1">
      <c r="B143" s="83" t="str">
        <f>Assumptions!C144</f>
        <v xml:space="preserve">Accounting / Audit </v>
      </c>
      <c r="C143" s="97"/>
      <c r="D143" s="227">
        <v>0</v>
      </c>
      <c r="E143" s="98"/>
      <c r="F143" s="282"/>
      <c r="G143" s="98"/>
      <c r="H143" s="98"/>
      <c r="I143" s="80"/>
      <c r="J143" s="349"/>
      <c r="K143" s="52"/>
      <c r="L143" s="52"/>
      <c r="M143" s="52"/>
      <c r="N143" s="52"/>
      <c r="O143" s="52"/>
      <c r="P143" s="52"/>
      <c r="Q143" s="52"/>
      <c r="R143" s="52"/>
      <c r="S143" s="52"/>
    </row>
    <row r="144" spans="2:19" s="54" customFormat="1" ht="15" customHeight="1">
      <c r="B144" s="353" t="str">
        <f>Assumptions!C145</f>
        <v>Legal</v>
      </c>
      <c r="C144" s="97"/>
      <c r="D144" s="227">
        <v>0</v>
      </c>
      <c r="E144" s="98"/>
      <c r="F144" s="282"/>
      <c r="G144" s="98"/>
      <c r="H144" s="98"/>
      <c r="I144" s="80"/>
      <c r="J144" s="349"/>
      <c r="K144" s="52"/>
      <c r="L144" s="52"/>
      <c r="M144" s="52"/>
      <c r="N144" s="52"/>
      <c r="O144" s="52"/>
      <c r="P144" s="52"/>
      <c r="Q144" s="52"/>
      <c r="R144" s="52"/>
      <c r="S144" s="52"/>
    </row>
    <row r="145" spans="2:19" s="54" customFormat="1" ht="15" customHeight="1">
      <c r="B145" s="204" t="str">
        <f>Assumptions!C146</f>
        <v>Oversight Fee (3%)</v>
      </c>
      <c r="C145" s="97"/>
      <c r="D145" s="227">
        <v>0</v>
      </c>
      <c r="E145" s="98"/>
      <c r="F145" s="282"/>
      <c r="G145" s="98"/>
      <c r="H145" s="98"/>
      <c r="I145" s="80"/>
      <c r="J145" s="349"/>
      <c r="K145" s="52"/>
      <c r="L145" s="52"/>
      <c r="M145" s="52"/>
      <c r="N145" s="52"/>
      <c r="O145" s="52"/>
      <c r="P145" s="52"/>
      <c r="Q145" s="52"/>
      <c r="R145" s="52"/>
      <c r="S145" s="52"/>
    </row>
    <row r="146" spans="2:19" s="54" customFormat="1" ht="15" customHeight="1">
      <c r="B146" s="83" t="str">
        <f>Assumptions!C147</f>
        <v>Management Company Fee</v>
      </c>
      <c r="C146" s="97"/>
      <c r="D146" s="227">
        <v>0</v>
      </c>
      <c r="E146" s="98"/>
      <c r="F146" s="282"/>
      <c r="G146" s="98"/>
      <c r="H146" s="98"/>
      <c r="I146" s="80"/>
      <c r="J146" s="349"/>
      <c r="K146" s="52"/>
      <c r="L146" s="52"/>
      <c r="M146" s="52"/>
      <c r="N146" s="52"/>
      <c r="O146" s="52"/>
      <c r="P146" s="52"/>
      <c r="Q146" s="52"/>
      <c r="R146" s="52"/>
      <c r="S146" s="52"/>
    </row>
    <row r="147" spans="2:19" s="54" customFormat="1" ht="15" customHeight="1">
      <c r="B147" s="83" t="str">
        <f>Assumptions!C148</f>
        <v>Nurse Services</v>
      </c>
      <c r="C147" s="97"/>
      <c r="D147" s="227">
        <v>0</v>
      </c>
      <c r="E147" s="98"/>
      <c r="F147" s="282"/>
      <c r="G147" s="98"/>
      <c r="H147" s="98"/>
      <c r="I147" s="80"/>
      <c r="J147" s="349"/>
      <c r="K147" s="52"/>
      <c r="L147" s="52"/>
      <c r="M147" s="52"/>
      <c r="N147" s="52"/>
      <c r="O147" s="52"/>
      <c r="P147" s="52"/>
      <c r="Q147" s="52"/>
      <c r="R147" s="52"/>
      <c r="S147" s="52"/>
    </row>
    <row r="148" spans="2:19" s="54" customFormat="1" ht="15" customHeight="1">
      <c r="B148" s="83" t="str">
        <f>Assumptions!C149</f>
        <v>Food Service / School Lunch</v>
      </c>
      <c r="C148" s="97"/>
      <c r="D148" s="227">
        <v>0</v>
      </c>
      <c r="E148" s="98"/>
      <c r="F148" s="282"/>
      <c r="G148" s="98"/>
      <c r="H148" s="98"/>
      <c r="I148" s="80"/>
      <c r="J148" s="349"/>
      <c r="K148" s="52"/>
      <c r="L148" s="52"/>
      <c r="M148" s="52"/>
      <c r="N148" s="52"/>
      <c r="O148" s="52"/>
      <c r="P148" s="52"/>
      <c r="Q148" s="52"/>
      <c r="R148" s="52"/>
      <c r="S148" s="52"/>
    </row>
    <row r="149" spans="2:19" s="54" customFormat="1" ht="15" customHeight="1">
      <c r="B149" s="83" t="str">
        <f>Assumptions!C150</f>
        <v>Payroll Services</v>
      </c>
      <c r="C149" s="97"/>
      <c r="D149" s="227">
        <v>0</v>
      </c>
      <c r="E149" s="98"/>
      <c r="F149" s="282"/>
      <c r="G149" s="98"/>
      <c r="H149" s="98"/>
      <c r="I149" s="80"/>
      <c r="J149" s="349"/>
      <c r="K149" s="52"/>
      <c r="L149" s="52"/>
      <c r="M149" s="52"/>
      <c r="N149" s="52"/>
      <c r="O149" s="52"/>
      <c r="P149" s="52"/>
      <c r="Q149" s="52"/>
      <c r="R149" s="52"/>
      <c r="S149" s="52"/>
    </row>
    <row r="150" spans="2:19" s="54" customFormat="1" ht="15" customHeight="1">
      <c r="B150" s="83" t="str">
        <f>Assumptions!C151</f>
        <v>Special Ed Services</v>
      </c>
      <c r="C150" s="97"/>
      <c r="D150" s="227">
        <v>0</v>
      </c>
      <c r="E150" s="98"/>
      <c r="F150" s="282"/>
      <c r="G150" s="98"/>
      <c r="H150" s="98"/>
      <c r="I150" s="80"/>
      <c r="J150" s="349"/>
      <c r="K150" s="52"/>
      <c r="L150" s="52"/>
      <c r="M150" s="52"/>
      <c r="N150" s="52"/>
      <c r="O150" s="52"/>
      <c r="P150" s="52"/>
      <c r="Q150" s="52"/>
      <c r="R150" s="52"/>
      <c r="S150" s="52"/>
    </row>
    <row r="151" spans="2:19" s="54" customFormat="1" ht="15" customHeight="1">
      <c r="B151" s="83" t="str">
        <f>Assumptions!C152</f>
        <v>Titlement Services (i.e. Title I)</v>
      </c>
      <c r="C151" s="53"/>
      <c r="D151" s="227">
        <v>0</v>
      </c>
      <c r="E151" s="98"/>
      <c r="F151" s="282"/>
      <c r="G151" s="98"/>
      <c r="H151" s="98"/>
      <c r="I151" s="80"/>
      <c r="J151" s="349"/>
      <c r="K151" s="52"/>
      <c r="L151" s="52"/>
      <c r="M151" s="52"/>
      <c r="N151" s="52"/>
      <c r="O151" s="52"/>
      <c r="P151" s="52"/>
      <c r="Q151" s="52"/>
      <c r="R151" s="52"/>
      <c r="S151" s="52"/>
    </row>
    <row r="152" spans="2:19" s="54" customFormat="1" ht="15" customHeight="1">
      <c r="B152" s="83" t="str">
        <f>Assumptions!C153</f>
        <v>Custom Contracted Services #1</v>
      </c>
      <c r="C152" s="53"/>
      <c r="D152" s="227">
        <v>0</v>
      </c>
      <c r="E152" s="98"/>
      <c r="F152" s="282"/>
      <c r="G152" s="98"/>
      <c r="H152" s="98"/>
      <c r="I152" s="80"/>
      <c r="J152" s="349"/>
      <c r="K152" s="52"/>
      <c r="L152" s="52"/>
      <c r="M152" s="52"/>
      <c r="N152" s="52"/>
      <c r="O152" s="52"/>
      <c r="P152" s="52"/>
      <c r="Q152" s="52"/>
      <c r="R152" s="52"/>
      <c r="S152" s="52"/>
    </row>
    <row r="153" spans="2:19" s="54" customFormat="1" ht="15" customHeight="1">
      <c r="B153" s="83" t="str">
        <f>Assumptions!C154</f>
        <v>Custom Contracted Services #2</v>
      </c>
      <c r="C153" s="53"/>
      <c r="D153" s="227">
        <v>0</v>
      </c>
      <c r="E153" s="98"/>
      <c r="F153" s="282"/>
      <c r="G153" s="98"/>
      <c r="H153" s="98"/>
      <c r="I153" s="80"/>
      <c r="J153" s="349"/>
      <c r="K153" s="52"/>
      <c r="L153" s="52"/>
      <c r="M153" s="52"/>
      <c r="N153" s="52"/>
      <c r="O153" s="52"/>
      <c r="P153" s="52"/>
      <c r="Q153" s="52"/>
      <c r="R153" s="52"/>
      <c r="S153" s="52"/>
    </row>
    <row r="154" spans="2:19" s="54" customFormat="1" ht="15" customHeight="1">
      <c r="B154" s="83" t="str">
        <f>Assumptions!C155</f>
        <v>Custom Contracted Services #3</v>
      </c>
      <c r="C154" s="53"/>
      <c r="D154" s="227">
        <v>0</v>
      </c>
      <c r="E154" s="98"/>
      <c r="F154" s="282"/>
      <c r="G154" s="98"/>
      <c r="H154" s="98"/>
      <c r="I154" s="80"/>
      <c r="J154" s="349"/>
      <c r="K154" s="52"/>
      <c r="L154" s="52"/>
      <c r="M154" s="52"/>
      <c r="N154" s="52"/>
      <c r="O154" s="52"/>
      <c r="P154" s="52"/>
      <c r="Q154" s="52"/>
      <c r="R154" s="52"/>
      <c r="S154" s="52"/>
    </row>
    <row r="155" spans="2:19" s="54" customFormat="1" ht="15" customHeight="1" thickBot="1">
      <c r="B155" s="81" t="str">
        <f>Assumptions!C156</f>
        <v>TOTAL CONTRACTED SERVICES</v>
      </c>
      <c r="C155" s="53"/>
      <c r="D155" s="87">
        <f>SUM(D143:D154)</f>
        <v>0</v>
      </c>
      <c r="E155" s="96"/>
      <c r="F155" s="282"/>
      <c r="G155" s="96"/>
      <c r="H155" s="96"/>
      <c r="I155" s="80"/>
      <c r="J155" s="349"/>
      <c r="K155" s="52"/>
      <c r="L155" s="52"/>
      <c r="M155" s="52"/>
      <c r="N155" s="52"/>
      <c r="O155" s="52"/>
      <c r="P155" s="52"/>
      <c r="Q155" s="52"/>
      <c r="R155" s="52"/>
      <c r="S155" s="52"/>
    </row>
    <row r="156" spans="2:19" s="54" customFormat="1" ht="6" customHeight="1" thickTop="1">
      <c r="B156" s="81"/>
      <c r="C156" s="53"/>
      <c r="D156" s="96"/>
      <c r="E156" s="96"/>
      <c r="F156" s="351"/>
      <c r="G156" s="96"/>
      <c r="H156" s="96"/>
      <c r="I156" s="80"/>
      <c r="J156" s="86"/>
      <c r="K156" s="52"/>
      <c r="L156" s="52"/>
      <c r="M156" s="52"/>
      <c r="N156" s="52"/>
      <c r="O156" s="52"/>
      <c r="P156" s="52"/>
      <c r="Q156" s="52"/>
      <c r="R156" s="52"/>
      <c r="S156" s="52"/>
    </row>
    <row r="157" spans="2:19" s="54" customFormat="1" ht="15" customHeight="1">
      <c r="B157" s="81" t="str">
        <f>Assumptions!C158</f>
        <v>SCHOOL OPERATIONS</v>
      </c>
      <c r="C157" s="53"/>
      <c r="D157" s="57"/>
      <c r="E157" s="58"/>
      <c r="F157" s="282"/>
      <c r="G157" s="58"/>
      <c r="H157" s="58"/>
      <c r="I157" s="80"/>
      <c r="J157" s="349"/>
      <c r="K157" s="52"/>
      <c r="L157" s="52"/>
      <c r="M157" s="52"/>
      <c r="N157" s="52"/>
      <c r="O157" s="52"/>
      <c r="P157" s="52"/>
      <c r="Q157" s="52"/>
      <c r="R157" s="52"/>
      <c r="S157" s="52"/>
    </row>
    <row r="158" spans="2:19" s="54" customFormat="1" ht="15" customHeight="1">
      <c r="B158" s="83" t="str">
        <f>Assumptions!C159</f>
        <v>Board Expenses</v>
      </c>
      <c r="C158" s="97"/>
      <c r="D158" s="227">
        <v>0</v>
      </c>
      <c r="E158" s="98"/>
      <c r="F158" s="282"/>
      <c r="G158" s="98"/>
      <c r="H158" s="98"/>
      <c r="I158" s="80"/>
      <c r="J158" s="349"/>
      <c r="K158" s="52"/>
      <c r="L158" s="52"/>
      <c r="M158" s="52"/>
      <c r="N158" s="52"/>
      <c r="O158" s="52"/>
      <c r="P158" s="52"/>
      <c r="Q158" s="52"/>
      <c r="R158" s="52"/>
      <c r="S158" s="52"/>
    </row>
    <row r="159" spans="2:19" s="54" customFormat="1" ht="15" customHeight="1">
      <c r="B159" s="83" t="str">
        <f>Assumptions!C160</f>
        <v>Classroom / Teaching Supplies &amp; Materials</v>
      </c>
      <c r="C159" s="97"/>
      <c r="D159" s="227">
        <v>0</v>
      </c>
      <c r="E159" s="98"/>
      <c r="F159" s="282"/>
      <c r="G159" s="98"/>
      <c r="H159" s="98"/>
      <c r="I159" s="80"/>
      <c r="J159" s="349"/>
      <c r="K159" s="52"/>
      <c r="L159" s="52"/>
      <c r="M159" s="52"/>
      <c r="N159" s="52"/>
      <c r="O159" s="52"/>
      <c r="P159" s="52"/>
      <c r="Q159" s="52"/>
      <c r="R159" s="52"/>
      <c r="S159" s="52"/>
    </row>
    <row r="160" spans="2:19" s="54" customFormat="1" ht="15" customHeight="1">
      <c r="B160" s="83" t="str">
        <f>Assumptions!C161</f>
        <v>Special Ed Supplies &amp; Materials</v>
      </c>
      <c r="C160" s="53"/>
      <c r="D160" s="227">
        <v>0</v>
      </c>
      <c r="E160" s="98"/>
      <c r="F160" s="282"/>
      <c r="G160" s="98"/>
      <c r="H160" s="98"/>
      <c r="I160" s="80"/>
      <c r="J160" s="349"/>
      <c r="K160" s="52"/>
      <c r="L160" s="52"/>
      <c r="M160" s="52"/>
      <c r="N160" s="52"/>
      <c r="O160" s="52"/>
      <c r="P160" s="52"/>
      <c r="Q160" s="52"/>
      <c r="R160" s="52"/>
      <c r="S160" s="52"/>
    </row>
    <row r="161" spans="2:19" s="54" customFormat="1" ht="15" customHeight="1">
      <c r="B161" s="83" t="str">
        <f>Assumptions!C162</f>
        <v>Textbooks / Workbooks</v>
      </c>
      <c r="C161" s="53"/>
      <c r="D161" s="227">
        <v>0</v>
      </c>
      <c r="E161" s="98"/>
      <c r="F161" s="282"/>
      <c r="G161" s="98"/>
      <c r="H161" s="98"/>
      <c r="I161" s="80"/>
      <c r="J161" s="349"/>
      <c r="K161" s="52"/>
      <c r="L161" s="52"/>
      <c r="M161" s="52"/>
      <c r="N161" s="52"/>
      <c r="O161" s="52"/>
      <c r="P161" s="52"/>
      <c r="Q161" s="52"/>
      <c r="R161" s="52"/>
      <c r="S161" s="52"/>
    </row>
    <row r="162" spans="2:19" s="54" customFormat="1" ht="15" customHeight="1">
      <c r="B162" s="83" t="str">
        <f>Assumptions!C163</f>
        <v>Supplies &amp; Materials other</v>
      </c>
      <c r="C162" s="53"/>
      <c r="D162" s="227">
        <v>0</v>
      </c>
      <c r="E162" s="98"/>
      <c r="F162" s="282"/>
      <c r="G162" s="98"/>
      <c r="H162" s="98"/>
      <c r="I162" s="80"/>
      <c r="J162" s="349"/>
      <c r="K162" s="52"/>
      <c r="L162" s="52"/>
      <c r="M162" s="52"/>
      <c r="N162" s="52"/>
      <c r="O162" s="52"/>
      <c r="P162" s="52"/>
      <c r="Q162" s="52"/>
      <c r="R162" s="52"/>
      <c r="S162" s="52"/>
    </row>
    <row r="163" spans="2:19" s="54" customFormat="1" ht="15" customHeight="1">
      <c r="B163" s="83" t="str">
        <f>Assumptions!C164</f>
        <v xml:space="preserve">Equipment / Furniture   </v>
      </c>
      <c r="C163" s="53"/>
      <c r="D163" s="227">
        <v>0</v>
      </c>
      <c r="E163" s="98"/>
      <c r="F163" s="282"/>
      <c r="G163" s="98"/>
      <c r="H163" s="98"/>
      <c r="I163" s="80"/>
      <c r="J163" s="349"/>
      <c r="K163" s="52"/>
      <c r="L163" s="52"/>
      <c r="M163" s="52"/>
      <c r="N163" s="52"/>
      <c r="O163" s="52"/>
      <c r="P163" s="52"/>
      <c r="Q163" s="52"/>
      <c r="R163" s="52"/>
      <c r="S163" s="52"/>
    </row>
    <row r="164" spans="2:19" s="54" customFormat="1" ht="15" customHeight="1">
      <c r="B164" s="83" t="str">
        <f>Assumptions!C165</f>
        <v xml:space="preserve">Telephone </v>
      </c>
      <c r="C164" s="53"/>
      <c r="D164" s="227">
        <v>0</v>
      </c>
      <c r="E164" s="98"/>
      <c r="F164" s="282"/>
      <c r="G164" s="98"/>
      <c r="H164" s="98"/>
      <c r="I164" s="80"/>
      <c r="J164" s="349"/>
      <c r="K164" s="52"/>
      <c r="L164" s="52"/>
      <c r="M164" s="52"/>
      <c r="N164" s="52"/>
      <c r="O164" s="52"/>
      <c r="P164" s="52"/>
      <c r="Q164" s="52"/>
      <c r="R164" s="52"/>
      <c r="S164" s="52"/>
    </row>
    <row r="165" spans="2:19" s="54" customFormat="1" ht="15" customHeight="1">
      <c r="B165" s="83" t="str">
        <f>Assumptions!C166</f>
        <v>Technology</v>
      </c>
      <c r="C165" s="53"/>
      <c r="D165" s="227">
        <v>0</v>
      </c>
      <c r="E165" s="98"/>
      <c r="F165" s="282"/>
      <c r="G165" s="98"/>
      <c r="H165" s="98"/>
      <c r="I165" s="80"/>
      <c r="J165" s="349"/>
      <c r="K165" s="52"/>
      <c r="L165" s="52"/>
      <c r="M165" s="52"/>
      <c r="N165" s="52"/>
      <c r="O165" s="52"/>
      <c r="P165" s="52"/>
      <c r="Q165" s="52"/>
      <c r="R165" s="52"/>
      <c r="S165" s="52"/>
    </row>
    <row r="166" spans="2:19" s="54" customFormat="1" ht="15" customHeight="1">
      <c r="B166" s="83" t="str">
        <f>Assumptions!C167</f>
        <v>Student Testing &amp; Assessment</v>
      </c>
      <c r="C166" s="53"/>
      <c r="D166" s="227">
        <v>0</v>
      </c>
      <c r="E166" s="98"/>
      <c r="F166" s="282"/>
      <c r="G166" s="98"/>
      <c r="H166" s="98"/>
      <c r="I166" s="80"/>
      <c r="J166" s="349"/>
      <c r="K166" s="52"/>
      <c r="L166" s="52"/>
      <c r="M166" s="52"/>
      <c r="N166" s="52"/>
      <c r="O166" s="52"/>
      <c r="P166" s="52"/>
      <c r="Q166" s="52"/>
      <c r="R166" s="52"/>
      <c r="S166" s="52"/>
    </row>
    <row r="167" spans="2:19" s="54" customFormat="1" ht="15" customHeight="1">
      <c r="B167" s="83" t="str">
        <f>Assumptions!C168</f>
        <v>Field Trips</v>
      </c>
      <c r="C167" s="53"/>
      <c r="D167" s="227">
        <v>0</v>
      </c>
      <c r="E167" s="98"/>
      <c r="F167" s="282"/>
      <c r="G167" s="98"/>
      <c r="H167" s="98"/>
      <c r="I167" s="80"/>
      <c r="J167" s="349"/>
      <c r="K167" s="52"/>
      <c r="L167" s="52"/>
      <c r="M167" s="52"/>
      <c r="N167" s="52"/>
      <c r="O167" s="52"/>
      <c r="P167" s="52"/>
      <c r="Q167" s="52"/>
      <c r="R167" s="52"/>
      <c r="S167" s="52"/>
    </row>
    <row r="168" spans="2:19" s="54" customFormat="1" ht="15" customHeight="1">
      <c r="B168" s="83" t="str">
        <f>Assumptions!C169</f>
        <v>Transportation (student)</v>
      </c>
      <c r="C168" s="53"/>
      <c r="D168" s="227">
        <v>0</v>
      </c>
      <c r="E168" s="98"/>
      <c r="F168" s="282"/>
      <c r="G168" s="98"/>
      <c r="H168" s="98"/>
      <c r="I168" s="80"/>
      <c r="J168" s="349"/>
      <c r="K168" s="52"/>
      <c r="L168" s="52"/>
      <c r="M168" s="52"/>
      <c r="N168" s="52"/>
      <c r="O168" s="52"/>
      <c r="P168" s="52"/>
      <c r="Q168" s="52"/>
      <c r="R168" s="52"/>
      <c r="S168" s="52"/>
    </row>
    <row r="169" spans="2:19" s="54" customFormat="1" ht="15" customHeight="1">
      <c r="B169" s="83" t="str">
        <f>Assumptions!C170</f>
        <v>Student Services - other</v>
      </c>
      <c r="C169" s="53"/>
      <c r="D169" s="227">
        <v>0</v>
      </c>
      <c r="E169" s="98"/>
      <c r="F169" s="282"/>
      <c r="G169" s="98"/>
      <c r="H169" s="98"/>
      <c r="I169" s="80"/>
      <c r="J169" s="349"/>
      <c r="K169" s="52"/>
      <c r="L169" s="52"/>
      <c r="M169" s="52"/>
      <c r="N169" s="52"/>
      <c r="O169" s="52"/>
      <c r="P169" s="52"/>
      <c r="Q169" s="52"/>
      <c r="R169" s="52"/>
      <c r="S169" s="52"/>
    </row>
    <row r="170" spans="2:19" s="54" customFormat="1" ht="15" customHeight="1">
      <c r="B170" s="83" t="str">
        <f>Assumptions!C171</f>
        <v>Office Expense</v>
      </c>
      <c r="C170" s="97"/>
      <c r="D170" s="227">
        <v>0</v>
      </c>
      <c r="E170" s="98"/>
      <c r="F170" s="282"/>
      <c r="G170" s="98"/>
      <c r="H170" s="98"/>
      <c r="I170" s="80"/>
      <c r="J170" s="349"/>
      <c r="K170" s="52"/>
      <c r="L170" s="52"/>
      <c r="M170" s="52"/>
      <c r="N170" s="52"/>
      <c r="O170" s="52"/>
      <c r="P170" s="52"/>
      <c r="Q170" s="52"/>
      <c r="R170" s="52"/>
      <c r="S170" s="52"/>
    </row>
    <row r="171" spans="2:19" s="54" customFormat="1" ht="15" customHeight="1">
      <c r="B171" s="83" t="str">
        <f>Assumptions!C172</f>
        <v>Staff Development</v>
      </c>
      <c r="C171" s="97"/>
      <c r="D171" s="227">
        <v>0</v>
      </c>
      <c r="E171" s="98"/>
      <c r="F171" s="282"/>
      <c r="G171" s="98"/>
      <c r="H171" s="98"/>
      <c r="I171" s="80"/>
      <c r="J171" s="349"/>
      <c r="K171" s="52"/>
      <c r="L171" s="52"/>
      <c r="M171" s="52"/>
      <c r="N171" s="52"/>
      <c r="O171" s="52"/>
      <c r="P171" s="52"/>
      <c r="Q171" s="52"/>
      <c r="R171" s="52"/>
      <c r="S171" s="52"/>
    </row>
    <row r="172" spans="2:19" s="54" customFormat="1" ht="15" customHeight="1">
      <c r="B172" s="83" t="str">
        <f>Assumptions!C173</f>
        <v>Staff Recruitment</v>
      </c>
      <c r="C172" s="97"/>
      <c r="D172" s="227">
        <v>0</v>
      </c>
      <c r="E172" s="98"/>
      <c r="F172" s="282"/>
      <c r="G172" s="98"/>
      <c r="H172" s="98"/>
      <c r="I172" s="80"/>
      <c r="J172" s="349"/>
      <c r="K172" s="52"/>
      <c r="L172" s="52"/>
      <c r="M172" s="52"/>
      <c r="N172" s="52"/>
      <c r="O172" s="52"/>
      <c r="P172" s="52"/>
      <c r="Q172" s="52"/>
      <c r="R172" s="52"/>
      <c r="S172" s="52"/>
    </row>
    <row r="173" spans="2:19" s="54" customFormat="1" ht="15" customHeight="1">
      <c r="B173" s="83" t="str">
        <f>Assumptions!C174</f>
        <v>Student Recruitment / Marketing</v>
      </c>
      <c r="C173" s="97"/>
      <c r="D173" s="227">
        <v>0</v>
      </c>
      <c r="E173" s="98"/>
      <c r="F173" s="282"/>
      <c r="G173" s="98"/>
      <c r="H173" s="98"/>
      <c r="I173" s="80"/>
      <c r="J173" s="349"/>
      <c r="K173" s="52"/>
      <c r="L173" s="52"/>
      <c r="M173" s="52"/>
      <c r="N173" s="52"/>
      <c r="O173" s="52"/>
      <c r="P173" s="52"/>
      <c r="Q173" s="52"/>
      <c r="R173" s="52"/>
      <c r="S173" s="52"/>
    </row>
    <row r="174" spans="2:19" s="54" customFormat="1" ht="15" customHeight="1">
      <c r="B174" s="83" t="str">
        <f>Assumptions!C175</f>
        <v>School Meals / Lunch</v>
      </c>
      <c r="C174" s="97"/>
      <c r="D174" s="227">
        <v>0</v>
      </c>
      <c r="E174" s="98"/>
      <c r="F174" s="282"/>
      <c r="G174" s="98"/>
      <c r="H174" s="98"/>
      <c r="I174" s="80"/>
      <c r="J174" s="349"/>
      <c r="K174" s="52"/>
      <c r="L174" s="52"/>
      <c r="M174" s="52"/>
      <c r="N174" s="52"/>
      <c r="O174" s="52"/>
      <c r="P174" s="52"/>
      <c r="Q174" s="52"/>
      <c r="R174" s="52"/>
      <c r="S174" s="52"/>
    </row>
    <row r="175" spans="2:19" s="54" customFormat="1" ht="15" customHeight="1">
      <c r="B175" s="83" t="str">
        <f>Assumptions!C176</f>
        <v>Travel (Staff)</v>
      </c>
      <c r="C175" s="53"/>
      <c r="D175" s="227">
        <v>0</v>
      </c>
      <c r="E175" s="98"/>
      <c r="F175" s="282"/>
      <c r="G175" s="98"/>
      <c r="H175" s="98"/>
      <c r="I175" s="80"/>
      <c r="J175" s="349"/>
      <c r="K175" s="52"/>
      <c r="L175" s="52"/>
      <c r="M175" s="52"/>
      <c r="N175" s="52"/>
      <c r="O175" s="52"/>
      <c r="P175" s="52"/>
      <c r="Q175" s="52"/>
      <c r="R175" s="52"/>
      <c r="S175" s="52"/>
    </row>
    <row r="176" spans="2:19" s="54" customFormat="1" ht="15" customHeight="1">
      <c r="B176" s="83" t="str">
        <f>Assumptions!C177</f>
        <v>Fundraising</v>
      </c>
      <c r="C176" s="53"/>
      <c r="D176" s="227">
        <v>0</v>
      </c>
      <c r="E176" s="98"/>
      <c r="F176" s="282"/>
      <c r="G176" s="98"/>
      <c r="H176" s="98"/>
      <c r="I176" s="80"/>
      <c r="J176" s="349"/>
      <c r="K176" s="52"/>
      <c r="L176" s="52"/>
      <c r="M176" s="52"/>
      <c r="N176" s="52"/>
      <c r="O176" s="52"/>
      <c r="P176" s="52"/>
      <c r="Q176" s="52"/>
      <c r="R176" s="52"/>
      <c r="S176" s="52"/>
    </row>
    <row r="177" spans="2:19" s="54" customFormat="1" ht="15" customHeight="1">
      <c r="B177" s="83" t="str">
        <f>Assumptions!C178</f>
        <v>Custom Operations #1</v>
      </c>
      <c r="C177" s="53"/>
      <c r="D177" s="227">
        <v>0</v>
      </c>
      <c r="E177" s="98"/>
      <c r="F177" s="282"/>
      <c r="G177" s="98"/>
      <c r="H177" s="98"/>
      <c r="I177" s="80"/>
      <c r="J177" s="349"/>
      <c r="K177" s="52"/>
      <c r="L177" s="52"/>
      <c r="M177" s="52"/>
      <c r="N177" s="52"/>
      <c r="O177" s="52"/>
      <c r="P177" s="52"/>
      <c r="Q177" s="52"/>
      <c r="R177" s="52"/>
      <c r="S177" s="52"/>
    </row>
    <row r="178" spans="2:19" s="54" customFormat="1" ht="15" customHeight="1">
      <c r="B178" s="83" t="str">
        <f>Assumptions!C179</f>
        <v>Custom Operations #2</v>
      </c>
      <c r="C178" s="53"/>
      <c r="D178" s="227">
        <v>0</v>
      </c>
      <c r="E178" s="98"/>
      <c r="F178" s="282"/>
      <c r="G178" s="98"/>
      <c r="H178" s="98"/>
      <c r="I178" s="80"/>
      <c r="J178" s="349"/>
      <c r="K178" s="52"/>
      <c r="L178" s="52"/>
      <c r="M178" s="52"/>
      <c r="N178" s="52"/>
      <c r="O178" s="52"/>
      <c r="P178" s="52"/>
      <c r="Q178" s="52"/>
      <c r="R178" s="52"/>
      <c r="S178" s="52"/>
    </row>
    <row r="179" spans="2:19" s="54" customFormat="1" ht="15" customHeight="1">
      <c r="B179" s="83" t="str">
        <f>Assumptions!C180</f>
        <v>Custom Operations #3</v>
      </c>
      <c r="C179" s="53"/>
      <c r="D179" s="227">
        <v>0</v>
      </c>
      <c r="E179" s="98"/>
      <c r="F179" s="282"/>
      <c r="G179" s="98"/>
      <c r="H179" s="98"/>
      <c r="I179" s="80"/>
      <c r="J179" s="349"/>
      <c r="K179" s="52"/>
      <c r="L179" s="52"/>
      <c r="M179" s="52"/>
      <c r="N179" s="52"/>
      <c r="O179" s="52"/>
      <c r="P179" s="52"/>
      <c r="Q179" s="52"/>
      <c r="R179" s="52"/>
      <c r="S179" s="52"/>
    </row>
    <row r="180" spans="2:19" s="54" customFormat="1" ht="15" customHeight="1" thickBot="1">
      <c r="B180" s="81" t="str">
        <f>Assumptions!C181</f>
        <v>TOTAL SCHOOL OPERATIONS</v>
      </c>
      <c r="C180" s="53"/>
      <c r="D180" s="87">
        <f>SUM(D158:D179)</f>
        <v>0</v>
      </c>
      <c r="E180" s="96"/>
      <c r="F180" s="282"/>
      <c r="G180" s="96"/>
      <c r="H180" s="96"/>
      <c r="I180" s="80"/>
      <c r="J180" s="349"/>
      <c r="K180" s="52"/>
      <c r="L180" s="52"/>
      <c r="M180" s="52"/>
      <c r="N180" s="52"/>
      <c r="O180" s="52"/>
      <c r="P180" s="52"/>
      <c r="Q180" s="52"/>
      <c r="R180" s="52"/>
      <c r="S180" s="52"/>
    </row>
    <row r="181" spans="2:19" s="54" customFormat="1" ht="6" customHeight="1" thickTop="1">
      <c r="B181" s="90"/>
      <c r="C181" s="53"/>
      <c r="D181" s="84"/>
      <c r="E181" s="98"/>
      <c r="F181" s="282"/>
      <c r="G181" s="98"/>
      <c r="H181" s="98"/>
      <c r="I181" s="80"/>
      <c r="J181" s="86"/>
      <c r="K181" s="52"/>
      <c r="L181" s="52"/>
      <c r="M181" s="52"/>
      <c r="N181" s="52"/>
      <c r="O181" s="52"/>
      <c r="P181" s="52"/>
      <c r="Q181" s="52"/>
      <c r="R181" s="52"/>
      <c r="S181" s="52"/>
    </row>
    <row r="182" spans="2:19" s="54" customFormat="1" ht="15" customHeight="1">
      <c r="B182" s="81" t="str">
        <f>Assumptions!C183</f>
        <v>FACILITY OPERATION &amp; MAINTENANCE</v>
      </c>
      <c r="C182" s="53"/>
      <c r="D182" s="57"/>
      <c r="E182" s="58"/>
      <c r="F182" s="282"/>
      <c r="G182" s="58"/>
      <c r="H182" s="58"/>
      <c r="I182" s="80"/>
      <c r="J182" s="349"/>
      <c r="K182" s="52"/>
      <c r="L182" s="52"/>
      <c r="M182" s="52"/>
      <c r="N182" s="52"/>
      <c r="O182" s="52"/>
      <c r="P182" s="52"/>
      <c r="Q182" s="52"/>
      <c r="R182" s="52"/>
      <c r="S182" s="52"/>
    </row>
    <row r="183" spans="2:19" s="54" customFormat="1" ht="15" customHeight="1">
      <c r="B183" s="83" t="str">
        <f>Assumptions!C184</f>
        <v>Insurance</v>
      </c>
      <c r="C183" s="53"/>
      <c r="D183" s="227">
        <v>0</v>
      </c>
      <c r="E183" s="98"/>
      <c r="F183" s="282"/>
      <c r="G183" s="98"/>
      <c r="H183" s="98"/>
      <c r="I183" s="80"/>
      <c r="J183" s="349"/>
      <c r="K183" s="52"/>
      <c r="L183" s="52"/>
      <c r="M183" s="52"/>
      <c r="N183" s="52"/>
      <c r="O183" s="52"/>
      <c r="P183" s="52"/>
      <c r="Q183" s="52"/>
      <c r="R183" s="52"/>
      <c r="S183" s="52"/>
    </row>
    <row r="184" spans="2:19" s="54" customFormat="1" ht="15" customHeight="1">
      <c r="B184" s="83" t="str">
        <f>Assumptions!C185</f>
        <v>Janitorial Services</v>
      </c>
      <c r="C184" s="53"/>
      <c r="D184" s="227">
        <v>0</v>
      </c>
      <c r="E184" s="98"/>
      <c r="F184" s="282"/>
      <c r="G184" s="98"/>
      <c r="H184" s="98"/>
      <c r="I184" s="80"/>
      <c r="J184" s="349"/>
      <c r="K184" s="52"/>
      <c r="L184" s="52"/>
      <c r="M184" s="52"/>
      <c r="N184" s="52"/>
      <c r="O184" s="52"/>
      <c r="P184" s="52"/>
      <c r="Q184" s="52"/>
      <c r="R184" s="52"/>
      <c r="S184" s="52"/>
    </row>
    <row r="185" spans="2:19" s="54" customFormat="1" ht="15" customHeight="1">
      <c r="B185" s="83" t="str">
        <f>Assumptions!C186</f>
        <v>Building and Land Rent / Lease</v>
      </c>
      <c r="C185" s="53"/>
      <c r="D185" s="227">
        <v>0</v>
      </c>
      <c r="E185" s="98"/>
      <c r="F185" s="282"/>
      <c r="G185" s="98"/>
      <c r="H185" s="98"/>
      <c r="I185" s="80"/>
      <c r="J185" s="349"/>
      <c r="K185" s="52"/>
      <c r="L185" s="52"/>
      <c r="M185" s="52"/>
      <c r="N185" s="52"/>
      <c r="O185" s="52"/>
      <c r="P185" s="52"/>
      <c r="Q185" s="52"/>
      <c r="R185" s="52"/>
      <c r="S185" s="52"/>
    </row>
    <row r="186" spans="2:19" s="54" customFormat="1" ht="15" customHeight="1">
      <c r="B186" s="83" t="str">
        <f>Assumptions!C187</f>
        <v xml:space="preserve">Repairs &amp; Maintenance </v>
      </c>
      <c r="C186" s="53"/>
      <c r="D186" s="227">
        <v>0</v>
      </c>
      <c r="E186" s="98"/>
      <c r="F186" s="282"/>
      <c r="G186" s="98"/>
      <c r="H186" s="98"/>
      <c r="I186" s="80"/>
      <c r="J186" s="349"/>
      <c r="K186" s="52"/>
      <c r="L186" s="52"/>
      <c r="M186" s="52"/>
      <c r="N186" s="52"/>
      <c r="O186" s="52"/>
      <c r="P186" s="52"/>
      <c r="Q186" s="52"/>
      <c r="R186" s="52"/>
      <c r="S186" s="52"/>
    </row>
    <row r="187" spans="2:19" s="54" customFormat="1" ht="15" customHeight="1">
      <c r="B187" s="83" t="str">
        <f>Assumptions!C188</f>
        <v>Equipment / Furniture</v>
      </c>
      <c r="C187" s="53"/>
      <c r="D187" s="227">
        <v>0</v>
      </c>
      <c r="E187" s="98"/>
      <c r="F187" s="282"/>
      <c r="G187" s="98"/>
      <c r="H187" s="98"/>
      <c r="I187" s="80"/>
      <c r="J187" s="349"/>
      <c r="K187" s="52"/>
      <c r="L187" s="52"/>
      <c r="M187" s="52"/>
      <c r="N187" s="52"/>
      <c r="O187" s="52"/>
      <c r="P187" s="52"/>
      <c r="Q187" s="52"/>
      <c r="R187" s="52"/>
      <c r="S187" s="52"/>
    </row>
    <row r="188" spans="2:19" s="54" customFormat="1" ht="15" customHeight="1">
      <c r="B188" s="83" t="str">
        <f>Assumptions!C189</f>
        <v>Security Services</v>
      </c>
      <c r="C188" s="53"/>
      <c r="D188" s="227">
        <v>0</v>
      </c>
      <c r="E188" s="98"/>
      <c r="F188" s="282"/>
      <c r="G188" s="98"/>
      <c r="H188" s="98"/>
      <c r="I188" s="80"/>
      <c r="J188" s="349"/>
      <c r="K188" s="52"/>
      <c r="L188" s="52"/>
      <c r="M188" s="52"/>
      <c r="N188" s="52"/>
      <c r="O188" s="52"/>
      <c r="P188" s="52"/>
      <c r="Q188" s="52"/>
      <c r="R188" s="52"/>
      <c r="S188" s="52"/>
    </row>
    <row r="189" spans="2:19" s="54" customFormat="1" ht="15" customHeight="1">
      <c r="B189" s="83" t="str">
        <f>Assumptions!C190</f>
        <v>Utilities</v>
      </c>
      <c r="C189" s="53"/>
      <c r="D189" s="227">
        <v>0</v>
      </c>
      <c r="E189" s="98"/>
      <c r="F189" s="282"/>
      <c r="G189" s="98"/>
      <c r="H189" s="98"/>
      <c r="I189" s="80"/>
      <c r="J189" s="349"/>
      <c r="K189" s="52"/>
      <c r="L189" s="52"/>
      <c r="M189" s="52"/>
      <c r="N189" s="52"/>
      <c r="O189" s="52"/>
      <c r="P189" s="52"/>
      <c r="Q189" s="52"/>
      <c r="R189" s="52"/>
      <c r="S189" s="52"/>
    </row>
    <row r="190" spans="2:19" s="54" customFormat="1" ht="15" customHeight="1">
      <c r="B190" s="83" t="str">
        <f>Assumptions!C191</f>
        <v>Custom Facilities Operations #1</v>
      </c>
      <c r="C190" s="53"/>
      <c r="D190" s="227">
        <v>0</v>
      </c>
      <c r="E190" s="98"/>
      <c r="F190" s="282"/>
      <c r="G190" s="98"/>
      <c r="H190" s="98"/>
      <c r="I190" s="80"/>
      <c r="J190" s="349"/>
      <c r="K190" s="52"/>
      <c r="L190" s="52"/>
      <c r="M190" s="52"/>
      <c r="N190" s="52"/>
      <c r="O190" s="52"/>
      <c r="P190" s="52"/>
      <c r="Q190" s="52"/>
      <c r="R190" s="52"/>
      <c r="S190" s="52"/>
    </row>
    <row r="191" spans="2:19" s="54" customFormat="1" ht="15" customHeight="1">
      <c r="B191" s="83" t="str">
        <f>Assumptions!C192</f>
        <v>Custom Facilities Operations #2</v>
      </c>
      <c r="C191" s="53"/>
      <c r="D191" s="227">
        <v>0</v>
      </c>
      <c r="E191" s="98"/>
      <c r="F191" s="282"/>
      <c r="G191" s="98"/>
      <c r="H191" s="98"/>
      <c r="I191" s="80"/>
      <c r="J191" s="349"/>
      <c r="K191" s="52"/>
      <c r="L191" s="52"/>
      <c r="M191" s="52"/>
      <c r="N191" s="52"/>
      <c r="O191" s="52"/>
      <c r="P191" s="52"/>
      <c r="Q191" s="52"/>
      <c r="R191" s="52"/>
      <c r="S191" s="52"/>
    </row>
    <row r="192" spans="2:19" s="54" customFormat="1" ht="15" customHeight="1">
      <c r="B192" s="83" t="str">
        <f>Assumptions!C193</f>
        <v>Custom Facilities Operations #3</v>
      </c>
      <c r="C192" s="53"/>
      <c r="D192" s="227">
        <v>0</v>
      </c>
      <c r="E192" s="98"/>
      <c r="F192" s="282"/>
      <c r="G192" s="98"/>
      <c r="H192" s="98"/>
      <c r="I192" s="80"/>
      <c r="J192" s="349"/>
      <c r="K192" s="52"/>
      <c r="L192" s="52"/>
      <c r="M192" s="52"/>
      <c r="N192" s="52"/>
      <c r="O192" s="52"/>
      <c r="P192" s="52"/>
      <c r="Q192" s="52"/>
      <c r="R192" s="52"/>
      <c r="S192" s="52"/>
    </row>
    <row r="193" spans="2:19" s="54" customFormat="1" ht="15" customHeight="1" thickBot="1">
      <c r="B193" s="81" t="str">
        <f>Assumptions!C194</f>
        <v>TOTAL FACILITY OPERATION &amp; MAINTENANCE</v>
      </c>
      <c r="C193" s="53"/>
      <c r="D193" s="91">
        <f>SUM(D183:D192)</f>
        <v>0</v>
      </c>
      <c r="E193" s="96"/>
      <c r="F193" s="282"/>
      <c r="G193" s="96"/>
      <c r="H193" s="96"/>
      <c r="I193" s="80"/>
      <c r="J193" s="349"/>
      <c r="K193" s="52"/>
      <c r="L193" s="52"/>
      <c r="M193" s="52"/>
      <c r="N193" s="52"/>
      <c r="O193" s="52"/>
      <c r="P193" s="52"/>
      <c r="Q193" s="52"/>
      <c r="R193" s="52"/>
      <c r="S193" s="52"/>
    </row>
    <row r="194" spans="2:19" s="54" customFormat="1" ht="6" customHeight="1" thickTop="1">
      <c r="B194" s="81"/>
      <c r="C194" s="53"/>
      <c r="D194" s="96"/>
      <c r="E194" s="96"/>
      <c r="F194" s="351"/>
      <c r="G194" s="96"/>
      <c r="H194" s="96"/>
      <c r="I194" s="80"/>
      <c r="J194" s="86"/>
      <c r="K194" s="52"/>
      <c r="L194" s="52"/>
      <c r="M194" s="52"/>
      <c r="N194" s="52"/>
      <c r="O194" s="52"/>
      <c r="P194" s="52"/>
      <c r="Q194" s="52"/>
      <c r="R194" s="52"/>
      <c r="S194" s="52"/>
    </row>
    <row r="195" spans="2:19" s="54" customFormat="1" ht="15" customHeight="1">
      <c r="B195" s="81" t="str">
        <f>Assumptions!C196</f>
        <v>RESERVES / CONTIGENCY</v>
      </c>
      <c r="C195" s="53"/>
      <c r="D195" s="227">
        <v>0</v>
      </c>
      <c r="E195" s="98"/>
      <c r="F195" s="282"/>
      <c r="G195" s="98"/>
      <c r="H195" s="98"/>
      <c r="I195" s="80"/>
      <c r="J195" s="349"/>
      <c r="K195" s="52"/>
      <c r="L195" s="52"/>
      <c r="M195" s="52"/>
      <c r="N195" s="52"/>
      <c r="O195" s="52"/>
      <c r="P195" s="52"/>
      <c r="Q195" s="52"/>
      <c r="R195" s="52"/>
      <c r="S195" s="52"/>
    </row>
    <row r="196" spans="2:19" s="54" customFormat="1" ht="6" customHeight="1">
      <c r="B196" s="81"/>
      <c r="C196" s="53"/>
      <c r="D196" s="99"/>
      <c r="E196" s="98"/>
      <c r="F196" s="282"/>
      <c r="G196" s="98"/>
      <c r="H196" s="98"/>
      <c r="I196" s="80"/>
      <c r="J196" s="86"/>
      <c r="K196" s="52"/>
      <c r="L196" s="52"/>
      <c r="M196" s="52"/>
      <c r="N196" s="52"/>
      <c r="O196" s="52"/>
      <c r="P196" s="52"/>
      <c r="Q196" s="52"/>
      <c r="R196" s="52"/>
      <c r="S196" s="52"/>
    </row>
    <row r="197" spans="2:19" s="54" customFormat="1" ht="15" customHeight="1">
      <c r="B197" s="81" t="str">
        <f>Assumptions!C198</f>
        <v>TOTAL EXPENSES</v>
      </c>
      <c r="C197" s="53"/>
      <c r="D197" s="100">
        <f>SUM(D140+D155+D180+D193+D195)</f>
        <v>0</v>
      </c>
      <c r="E197" s="96"/>
      <c r="F197" s="282"/>
      <c r="G197" s="96"/>
      <c r="H197" s="96"/>
      <c r="I197" s="80"/>
      <c r="J197" s="349"/>
      <c r="K197" s="52"/>
      <c r="L197" s="52"/>
      <c r="M197" s="52"/>
      <c r="N197" s="52"/>
      <c r="O197" s="52"/>
      <c r="P197" s="52"/>
      <c r="Q197" s="52"/>
      <c r="R197" s="52"/>
      <c r="S197" s="52"/>
    </row>
    <row r="198" spans="2:19" s="54" customFormat="1" ht="15" customHeight="1" thickBot="1">
      <c r="B198" s="81" t="str">
        <f>Assumptions!C199</f>
        <v>NET OPERATING INCOME (before Depreciation)</v>
      </c>
      <c r="C198" s="97"/>
      <c r="D198" s="91">
        <f>D90-D197</f>
        <v>0</v>
      </c>
      <c r="E198" s="96"/>
      <c r="F198" s="282"/>
      <c r="G198" s="96"/>
      <c r="H198" s="96"/>
      <c r="I198" s="80"/>
      <c r="J198" s="349"/>
      <c r="K198" s="52"/>
      <c r="L198" s="52"/>
      <c r="M198" s="52"/>
      <c r="N198" s="52"/>
      <c r="O198" s="52"/>
      <c r="P198" s="52"/>
      <c r="Q198" s="52"/>
      <c r="R198" s="52"/>
      <c r="S198" s="52"/>
    </row>
    <row r="199" spans="2:19" s="54" customFormat="1" ht="6" customHeight="1" thickTop="1">
      <c r="B199" s="81"/>
      <c r="C199" s="53"/>
      <c r="D199" s="96"/>
      <c r="E199" s="96"/>
      <c r="F199" s="351"/>
      <c r="G199" s="96"/>
      <c r="H199" s="96"/>
      <c r="I199" s="80"/>
      <c r="J199" s="86"/>
      <c r="K199" s="52"/>
      <c r="L199" s="52"/>
      <c r="M199" s="52"/>
      <c r="N199" s="52"/>
      <c r="O199" s="52"/>
      <c r="P199" s="52"/>
      <c r="Q199" s="52"/>
      <c r="R199" s="52"/>
      <c r="S199" s="52"/>
    </row>
    <row r="200" spans="2:19" s="54" customFormat="1" ht="15" customHeight="1">
      <c r="B200" s="81" t="str">
        <f>Assumptions!C201</f>
        <v>DEPRECIATION &amp; AMORTIZATION</v>
      </c>
      <c r="C200" s="53"/>
      <c r="D200" s="227">
        <v>0</v>
      </c>
      <c r="E200" s="98"/>
      <c r="F200" s="282"/>
      <c r="G200" s="98"/>
      <c r="H200" s="98"/>
      <c r="I200" s="80"/>
      <c r="J200" s="349"/>
      <c r="K200" s="52"/>
      <c r="L200" s="52"/>
      <c r="M200" s="52"/>
      <c r="N200" s="52"/>
      <c r="O200" s="52"/>
      <c r="P200" s="52"/>
      <c r="Q200" s="52"/>
      <c r="R200" s="52"/>
      <c r="S200" s="52"/>
    </row>
    <row r="201" spans="2:19" s="54" customFormat="1" ht="6" customHeight="1">
      <c r="B201" s="81"/>
      <c r="C201" s="53"/>
      <c r="D201" s="96"/>
      <c r="E201" s="96"/>
      <c r="F201" s="351"/>
      <c r="G201" s="96"/>
      <c r="H201" s="96"/>
      <c r="I201" s="80"/>
      <c r="J201" s="86"/>
      <c r="K201" s="52"/>
      <c r="L201" s="52"/>
      <c r="M201" s="52"/>
      <c r="N201" s="52"/>
      <c r="O201" s="52"/>
      <c r="P201" s="52"/>
      <c r="Q201" s="52"/>
      <c r="R201" s="52"/>
      <c r="S201" s="52"/>
    </row>
    <row r="202" spans="2:19" s="54" customFormat="1" ht="15" customHeight="1" thickBot="1">
      <c r="B202" s="81" t="str">
        <f>Assumptions!C203</f>
        <v>NET OPERATING INCOME (including Depreciation)</v>
      </c>
      <c r="C202" s="53"/>
      <c r="D202" s="339">
        <f>D198-D200</f>
        <v>0</v>
      </c>
      <c r="E202" s="96"/>
      <c r="F202" s="282"/>
      <c r="G202" s="96"/>
      <c r="H202" s="96"/>
      <c r="I202" s="80"/>
      <c r="J202" s="349"/>
      <c r="K202" s="52"/>
      <c r="L202" s="52"/>
      <c r="M202" s="52"/>
      <c r="N202" s="52"/>
      <c r="O202" s="52"/>
      <c r="P202" s="52"/>
      <c r="Q202" s="52"/>
      <c r="R202" s="52"/>
      <c r="S202" s="52"/>
    </row>
    <row r="203" spans="2:19" s="54" customFormat="1" ht="15" customHeight="1" thickTop="1">
      <c r="B203" s="81"/>
      <c r="C203" s="53"/>
      <c r="D203" s="96"/>
      <c r="E203" s="96"/>
      <c r="F203" s="88"/>
      <c r="G203" s="96"/>
      <c r="H203" s="96"/>
      <c r="I203" s="80"/>
      <c r="J203" s="86"/>
      <c r="K203" s="52"/>
      <c r="L203" s="52"/>
      <c r="M203" s="52"/>
      <c r="N203" s="52"/>
      <c r="O203" s="52"/>
      <c r="P203" s="52"/>
      <c r="Q203" s="52"/>
      <c r="R203" s="52"/>
      <c r="S203" s="52"/>
    </row>
  </sheetData>
  <sheetProtection algorithmName="SHA-512" hashValue="v0y0w+e/32Yalfk6txUXFNYaILTdBxir+urG90v0lr1Ag9nn8jiy6Poa04lVFxAKBcPHic0bacgjE25qGtJS7A==" saltValue="ck1M72UkPVTk8mFLpMtUVA==" spinCount="100000" sheet="1" objects="1" scenarios="1" formatColumns="0" formatRows="0"/>
  <mergeCells count="3">
    <mergeCell ref="D15:D16"/>
    <mergeCell ref="B6:F6"/>
    <mergeCell ref="B5:F5"/>
  </mergeCells>
  <conditionalFormatting sqref="D181:H181 E20:H48 E60:E74 E78:E87 D94:E100 D104:E111 D115:E119 D125:E137 D183:E192 E49:E56 G49:H56 G60:H74 G78:H87 G94:H100 G104:H111 G115:H119 G125:H137 G143:H154 D158:E179 G158:H179 G183:H192 D195:H196 D200:H200 D143:E154">
    <cfRule type="expression" dxfId="85" priority="26">
      <formula>#REF!=3</formula>
    </cfRule>
  </conditionalFormatting>
  <conditionalFormatting sqref="F202 F197:F198 F182:F193 F157:F180 F142:F155 F140 F124:F138 F122 F114:F120 F103:F112 F92:F101 F90 F77:F88 F59:F75 F49:F57 F18:F19">
    <cfRule type="expression" dxfId="84" priority="25">
      <formula>#REF!=3</formula>
    </cfRule>
  </conditionalFormatting>
  <conditionalFormatting sqref="D20:D22">
    <cfRule type="expression" dxfId="83" priority="13">
      <formula>#REF!=3</formula>
    </cfRule>
  </conditionalFormatting>
  <conditionalFormatting sqref="D26:D28">
    <cfRule type="expression" dxfId="82" priority="12">
      <formula>#REF!=3</formula>
    </cfRule>
  </conditionalFormatting>
  <conditionalFormatting sqref="D32:D34">
    <cfRule type="expression" dxfId="81" priority="11">
      <formula>#REF!=3</formula>
    </cfRule>
  </conditionalFormatting>
  <conditionalFormatting sqref="D38:D44">
    <cfRule type="expression" dxfId="80" priority="10">
      <formula>#REF!=3</formula>
    </cfRule>
  </conditionalFormatting>
  <conditionalFormatting sqref="D48:D53">
    <cfRule type="expression" dxfId="79" priority="9">
      <formula>#REF!=3</formula>
    </cfRule>
  </conditionalFormatting>
  <conditionalFormatting sqref="D55">
    <cfRule type="expression" dxfId="78" priority="8">
      <formula>#REF!=3</formula>
    </cfRule>
  </conditionalFormatting>
  <conditionalFormatting sqref="D59:D67">
    <cfRule type="expression" dxfId="77" priority="7">
      <formula>#REF!=3</formula>
    </cfRule>
  </conditionalFormatting>
  <conditionalFormatting sqref="D69">
    <cfRule type="expression" dxfId="76" priority="6">
      <formula>#REF!=3</formula>
    </cfRule>
  </conditionalFormatting>
  <conditionalFormatting sqref="D73:D74">
    <cfRule type="expression" dxfId="75" priority="5">
      <formula>#REF!=3</formula>
    </cfRule>
  </conditionalFormatting>
  <conditionalFormatting sqref="D78:D81">
    <cfRule type="expression" dxfId="74" priority="4">
      <formula>#REF!=3</formula>
    </cfRule>
  </conditionalFormatting>
  <conditionalFormatting sqref="D85">
    <cfRule type="expression" dxfId="73" priority="3">
      <formula>#REF!=3</formula>
    </cfRule>
  </conditionalFormatting>
  <conditionalFormatting sqref="D86">
    <cfRule type="expression" dxfId="72" priority="2">
      <formula>#REF!=3</formula>
    </cfRule>
  </conditionalFormatting>
  <conditionalFormatting sqref="D87">
    <cfRule type="expression" dxfId="71" priority="1">
      <formula>#REF!=3</formula>
    </cfRule>
  </conditionalFormatting>
  <printOptions horizontalCentered="1"/>
  <pageMargins left="0.5" right="0.25" top="0.5" bottom="0.25" header="0.5" footer="0.5"/>
  <pageSetup scale="60" orientation="portrait" r:id="rId1"/>
  <headerFooter alignWithMargins="0"/>
  <rowBreaks count="2" manualBreakCount="2">
    <brk id="91" min="1" max="5" man="1"/>
    <brk id="156" min="1"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Template Guidance -- </vt:lpstr>
      <vt:lpstr>General Template Instructions</vt:lpstr>
      <vt:lpstr>New Application Budget ---&gt;</vt:lpstr>
      <vt:lpstr>School Info</vt:lpstr>
      <vt:lpstr>Enrollment</vt:lpstr>
      <vt:lpstr>Personnel</vt:lpstr>
      <vt:lpstr>Assumptions</vt:lpstr>
      <vt:lpstr>5 YR Budget</vt:lpstr>
      <vt:lpstr>Start-Up Budget</vt:lpstr>
      <vt:lpstr>Cash Flow</vt:lpstr>
      <vt:lpstr>'5 YR Budget'!Print_Area</vt:lpstr>
      <vt:lpstr>Assumptions!Print_Area</vt:lpstr>
      <vt:lpstr>'Cash Flow'!Print_Area</vt:lpstr>
      <vt:lpstr>Enrollment!Print_Area</vt:lpstr>
      <vt:lpstr>'General Template Instructions'!Print_Area</vt:lpstr>
      <vt:lpstr>Personnel!Print_Area</vt:lpstr>
      <vt:lpstr>'School Info'!Print_Area</vt:lpstr>
      <vt:lpstr>'Start-Up Budget'!Print_Area</vt:lpstr>
      <vt:lpstr>'5 YR Budget'!Print_Titles</vt:lpstr>
      <vt:lpstr>Assumptions!Print_Titles</vt:lpstr>
      <vt:lpstr>'Cash Flow'!Print_Titles</vt:lpstr>
      <vt:lpstr>Enrollment!Print_Titles</vt:lpstr>
      <vt:lpstr>'General Template Instructions'!Print_Titles</vt:lpstr>
      <vt:lpstr>Personnel!Print_Titles</vt:lpstr>
      <vt:lpstr>'Start-Up Budget'!Print_Titles</vt:lpstr>
      <vt:lpstr>X_Assumptions</vt:lpstr>
      <vt:lpstr>X_AssumptionsInc</vt:lpstr>
      <vt:lpstr>X_Enrollment</vt:lpstr>
      <vt:lpstr>X_SchoolDays</vt:lpstr>
      <vt:lpstr>X_SchoolName</vt:lpstr>
      <vt:lpstr>X_Staffing_YR1_FTE</vt:lpstr>
      <vt:lpstr>X_Staffing_YR2_FTE</vt:lpstr>
      <vt:lpstr>X_Staffing_YR3_FTE</vt:lpstr>
      <vt:lpstr>X_Staffing_YR4_FTE</vt:lpstr>
      <vt:lpstr>X_Staffing_YR5_FTE</vt:lpstr>
      <vt:lpstr>X_StaffingCategories</vt:lpstr>
      <vt:lpstr>X_StaffingRaises</vt:lpstr>
      <vt:lpstr>X_YearOne</vt:lpstr>
      <vt:lpstr>X_Years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Hruby</dc:creator>
  <cp:lastModifiedBy>Krystal Starwich</cp:lastModifiedBy>
  <cp:lastPrinted>2018-11-13T17:35:57Z</cp:lastPrinted>
  <dcterms:created xsi:type="dcterms:W3CDTF">2010-12-06T15:12:08Z</dcterms:created>
  <dcterms:modified xsi:type="dcterms:W3CDTF">2018-12-03T01:04:08Z</dcterms:modified>
</cp:coreProperties>
</file>